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8915" windowHeight="13065" activeTab="0"/>
  </bookViews>
  <sheets>
    <sheet name="Saisie" sheetId="1" r:id="rId1"/>
    <sheet name="Modèles" sheetId="2" r:id="rId2"/>
    <sheet name="Feuil3" sheetId="3" r:id="rId3"/>
  </sheets>
  <definedNames>
    <definedName name="EchHgéné">'Saisie'!$C$16</definedName>
    <definedName name="EchVGéné">'Saisie'!$C$18</definedName>
    <definedName name="RCercle">'Saisie'!$R$12</definedName>
    <definedName name="XDépGéné">'Saisie'!$C$12</definedName>
    <definedName name="XPosCentreCercle">'Saisie'!$Q$10</definedName>
    <definedName name="XPossitSaisie">'Saisie'!$H$11</definedName>
    <definedName name="YDépGéné">'Saisie'!$D$12</definedName>
    <definedName name="YPositcentreCercle">'Saisie'!$R$10</definedName>
  </definedNames>
  <calcPr fullCalcOnLoad="1"/>
</workbook>
</file>

<file path=xl/comments1.xml><?xml version="1.0" encoding="utf-8"?>
<comments xmlns="http://schemas.openxmlformats.org/spreadsheetml/2006/main">
  <authors>
    <author>Nous</author>
  </authors>
  <commentList>
    <comment ref="A5" authorId="0">
      <text>
        <r>
          <rPr>
            <b/>
            <u val="single"/>
            <sz val="9"/>
            <rFont val="Tahoma"/>
            <family val="2"/>
          </rPr>
          <t xml:space="preserve">Généralités :
</t>
        </r>
        <r>
          <rPr>
            <b/>
            <sz val="9"/>
            <rFont val="Tahoma"/>
            <family val="0"/>
          </rPr>
          <t xml:space="preserve"> Ce tableau Excel calcule automatiquement l'aire délimitée par le courbe fuchsia apparaissant sur le graphe de cette feuille.
Chacun des points de la courbe fuchsia peut être déplacé en X et en Y à l'aide des deux jeux de curseurs ci-dessous.
</t>
        </r>
        <r>
          <rPr>
            <b/>
            <u val="single"/>
            <sz val="9"/>
            <rFont val="Tahoma"/>
            <family val="2"/>
          </rPr>
          <t>Dans la pratique :</t>
        </r>
        <r>
          <rPr>
            <b/>
            <sz val="9"/>
            <rFont val="Tahoma"/>
            <family val="0"/>
          </rPr>
          <t xml:space="preserve">
Couchez comme fond de la "Zone de traçage", l'image de la courbe fermée dont vous désirez calculer la surface : Clic droit sur la zone de traçage où viendra l'image, choisir "Format de la zone de traçage". Puis en bas à droite "Motif et texture", puis "Image" et "Image". Ensuite, dans la fenêtre qui apparaît, indiquer l'adresse de l'image sur votre ordinateur.
Choisissez ensuite au besoin  une forme approchante dans la liste de modèles présentée dans le petit pavé orange en haut de cette feuille (au besoin remonter l'ascenseur pour voir les premiers choix de cette liste).
Ces modèles sont enregistrés dans la feuille "Modèles" et vous pourrez y enregistrer vos propres modèles par copier-coller des colonnes écrites en fuchsia </t>
        </r>
        <r>
          <rPr>
            <b/>
            <u val="single"/>
            <sz val="9"/>
            <rFont val="Tahoma"/>
            <family val="2"/>
          </rPr>
          <t>en tant que valeur</t>
        </r>
        <r>
          <rPr>
            <b/>
            <sz val="9"/>
            <rFont val="Tahoma"/>
            <family val="0"/>
          </rPr>
          <t>.
La courbe en trait bleu clair dessine alors la courbe du modèle choisi.
Pour commencer le travail de saisie de votre propre</t>
        </r>
        <r>
          <rPr>
            <b/>
            <i/>
            <sz val="9"/>
            <rFont val="Tahoma"/>
            <family val="2"/>
          </rPr>
          <t xml:space="preserve"> image de courbe</t>
        </r>
        <r>
          <rPr>
            <b/>
            <sz val="9"/>
            <rFont val="Tahoma"/>
            <family val="0"/>
          </rPr>
          <t xml:space="preserve">, frappez sur votre clavier Ctrl + d (mise à la position de départ de tous les curseurs), confirmez cette ordre par OK : la courbe fuchsia prend alors la forme de la courbe modèle choisie (et peut la recouvrir).
Attention, ce raccourci clavier n'est pas opérant si un curseur ou une cellule est en cours de modification.
C'est sur cette courbe fuchsia que vous allez agir, point par point, à l'aide des 30 curseurs en X et en Y placés ci-dessous (on ne se sert plus de la courbe bleu clair qu'on ne garde que comme référence)(mais est-elle vraiment utile ?)...
Pour vous faciliter la saisie, vous disposez des curseurs du pavé vert-pétant ci-dessous pour  déplacer globalement cette courbe fuchsia en X et en Y  (afin de la faire approcher au mieux de votre image de courbe)...
L'aire de la surface circonscrite par la courbe fuchsia est calculée par Excel et affichée dans la cellule jaune ci-dessous. Il s'agit de l'aire </t>
        </r>
        <r>
          <rPr>
            <b/>
            <i/>
            <sz val="9"/>
            <rFont val="Tahoma"/>
            <family val="2"/>
          </rPr>
          <t>algébrique</t>
        </r>
        <r>
          <rPr>
            <b/>
            <sz val="9"/>
            <rFont val="Tahoma"/>
            <family val="0"/>
          </rPr>
          <t xml:space="preserve"> de cette courbe sur le graphe, compte tenu des dimensions des abscisses et des ordonnées des axes (visibles sur le graphe).
Pour la détermination de l'aire réelle de votre image de courbe, vous devez évidemment introduire dans le calcul les dimensions caractéristiques  dans deux directions perpendiculaires (horizontale et verticale sur le graphe) de cette </t>
        </r>
        <r>
          <rPr>
            <b/>
            <i/>
            <sz val="9"/>
            <rFont val="Tahoma"/>
            <family val="2"/>
          </rPr>
          <t>image de courbe</t>
        </r>
        <r>
          <rPr>
            <b/>
            <sz val="9"/>
            <rFont val="Tahoma"/>
            <family val="0"/>
          </rPr>
          <t xml:space="preserve"> :
--&gt;Dans un premier temps, vous devez jouer des curseurs du pavé grisé en haut à droite de cette feuille pour placer </t>
        </r>
        <r>
          <rPr>
            <b/>
            <u val="single"/>
            <sz val="9"/>
            <rFont val="Tahoma"/>
            <family val="2"/>
          </rPr>
          <t>les lignes de cotes jaunes</t>
        </r>
        <r>
          <rPr>
            <b/>
            <sz val="9"/>
            <rFont val="Tahoma"/>
            <family val="0"/>
          </rPr>
          <t xml:space="preserve"> en des points caractéristiques à votre choix de l'</t>
        </r>
        <r>
          <rPr>
            <b/>
            <i/>
            <sz val="9"/>
            <rFont val="Tahoma"/>
            <family val="2"/>
          </rPr>
          <t>image de courbe</t>
        </r>
        <r>
          <rPr>
            <b/>
            <sz val="9"/>
            <rFont val="Tahoma"/>
            <family val="0"/>
          </rPr>
          <t xml:space="preserve">. 
--&gt;Dans un deuxième temps, vous devez mesurer ces mêmes dimensions caractéristiques  dans la réalité (ou sur votre plan) et introduire ces dimensions dans le petit pavé noir en haut à gauche de cette feuille. Cette introduction permettra à Excel de prendre en compte les deux échelles (horizontale et verticale) de votre </t>
        </r>
        <r>
          <rPr>
            <b/>
            <i/>
            <sz val="9"/>
            <rFont val="Tahoma"/>
            <family val="2"/>
          </rPr>
          <t>image de courbe</t>
        </r>
        <r>
          <rPr>
            <b/>
            <sz val="9"/>
            <rFont val="Tahoma"/>
            <family val="0"/>
          </rPr>
          <t xml:space="preserve"> (échelles qui ne peuvent être connues du tableur) et de calculer la valeur réelle de son aire.
Cette valeur réelle de l'aire de l'</t>
        </r>
        <r>
          <rPr>
            <b/>
            <i/>
            <sz val="9"/>
            <rFont val="Tahoma"/>
            <family val="2"/>
          </rPr>
          <t>image de courbe (</t>
        </r>
        <r>
          <rPr>
            <b/>
            <sz val="9"/>
            <rFont val="Tahoma"/>
            <family val="0"/>
          </rPr>
          <t>le but que vous cherchiez à atteindre) est affichée dans la cellule turquoise ci-dessous, avec comme unité le carré de l'unité que vous choisie pour les dimensions caractéristiques (par exemple en mm² si vous avez exprimé ces dimension caractéristiques en mm).</t>
        </r>
        <r>
          <rPr>
            <sz val="9"/>
            <rFont val="Tahoma"/>
            <family val="0"/>
          </rPr>
          <t xml:space="preserve">
</t>
        </r>
        <r>
          <rPr>
            <b/>
            <u val="single"/>
            <sz val="9"/>
            <rFont val="Tahoma"/>
            <family val="2"/>
          </rPr>
          <t>Remerciements</t>
        </r>
        <r>
          <rPr>
            <b/>
            <sz val="9"/>
            <rFont val="Tahoma"/>
            <family val="2"/>
          </rPr>
          <t xml:space="preserve">  : à JCGL qui m'a donné le système de remise au départ des curseurs sur le forum Excel DownLoad...</t>
        </r>
      </text>
    </comment>
    <comment ref="H2" authorId="0">
      <text>
        <r>
          <rPr>
            <b/>
            <sz val="9"/>
            <rFont val="Tahoma"/>
            <family val="0"/>
          </rPr>
          <t>L'affichage de ce modèle vous permettra peut-être d'afficher une courbe fuchsia plus proche de votre image de courbe.</t>
        </r>
        <r>
          <rPr>
            <sz val="9"/>
            <rFont val="Tahoma"/>
            <family val="0"/>
          </rPr>
          <t xml:space="preserve">
</t>
        </r>
      </text>
    </comment>
    <comment ref="E2" authorId="0">
      <text>
        <r>
          <rPr>
            <b/>
            <sz val="9"/>
            <rFont val="Tahoma"/>
            <family val="0"/>
          </rPr>
          <t>Dimension horizontale réelle de votre courbe, dans l'unité que vous souhaitez (le mm ou le cm, par exemple). L'aire de votre courbe sera exprimée implicitement dans le carré de cette unité.</t>
        </r>
        <r>
          <rPr>
            <sz val="9"/>
            <rFont val="Tahoma"/>
            <family val="0"/>
          </rPr>
          <t xml:space="preserve">
</t>
        </r>
      </text>
    </comment>
    <comment ref="E3" authorId="0">
      <text>
        <r>
          <rPr>
            <b/>
            <sz val="9"/>
            <rFont val="Tahoma"/>
            <family val="0"/>
          </rPr>
          <t>Dimension verticale réelle de votre courbe, dans la même unité que ci-dessus. L'aire de votre courbe sera exprimée implicitement dans le carré de cette unité.</t>
        </r>
        <r>
          <rPr>
            <sz val="9"/>
            <rFont val="Tahoma"/>
            <family val="0"/>
          </rPr>
          <t xml:space="preserve">
</t>
        </r>
      </text>
    </comment>
    <comment ref="D8" authorId="0">
      <text>
        <r>
          <rPr>
            <b/>
            <sz val="9"/>
            <rFont val="Tahoma"/>
            <family val="0"/>
          </rPr>
          <t>Coefficient de remplissage de la courbe fermée. Dans le cas où cette courbe est un rectangle, ce coefficient est 1. Si la courvbe est une ellipse ou un cercle, ce coefficient est pi/4.</t>
        </r>
        <r>
          <rPr>
            <sz val="9"/>
            <rFont val="Tahoma"/>
            <family val="0"/>
          </rPr>
          <t xml:space="preserve">
</t>
        </r>
        <r>
          <rPr>
            <b/>
            <sz val="9"/>
            <rFont val="Tahoma"/>
            <family val="2"/>
          </rPr>
          <t>Ce coefficient de remplissage est établi par rapport aux dimensions par défaut précisée ci-à-droite. Mais ce choix par défaut de dimensions caractéristiques n'est pas forcément celui que ferait un ingénieur.</t>
        </r>
      </text>
    </comment>
    <comment ref="E8" authorId="0">
      <text>
        <r>
          <rPr>
            <b/>
            <u val="single"/>
            <sz val="9"/>
            <color indexed="10"/>
            <rFont val="Tahoma"/>
            <family val="2"/>
          </rPr>
          <t>Par défaut</t>
        </r>
        <r>
          <rPr>
            <b/>
            <sz val="9"/>
            <rFont val="Tahoma"/>
            <family val="2"/>
          </rPr>
          <t xml:space="preserve">, les dimensions caractéristiques horizontale et verticale sont prises entre les maxi et mini des X et des Y. C'est donc les dimensions d'encombrement de la courbe...
Pour une ellipse, ces dimensions caractéristiques sont donc le grand et le petit diamètre. En conséquence pour cette ellipse, le coeficient de remplissage est pi/4 =0,7854.
</t>
        </r>
      </text>
    </comment>
    <comment ref="E7" authorId="0">
      <text>
        <r>
          <rPr>
            <b/>
            <sz val="9"/>
            <rFont val="Tahoma"/>
            <family val="0"/>
          </rPr>
          <t>…ce nombre a comme unité le carré de l'unité que vous avez choisi d'utiliser pour les dimensions caractéristiques horizontale et verticale réelles.</t>
        </r>
        <r>
          <rPr>
            <sz val="9"/>
            <rFont val="Tahoma"/>
            <family val="0"/>
          </rPr>
          <t xml:space="preserve">
</t>
        </r>
      </text>
    </comment>
    <comment ref="E6" authorId="0">
      <text>
        <r>
          <rPr>
            <b/>
            <sz val="9"/>
            <rFont val="Tahoma"/>
            <family val="0"/>
          </rPr>
          <t xml:space="preserve">…la dimension de cette aire est le produit des vecteurs directeurs du graphe.
Autant dire que cette aire possède une dimension algébrique...
</t>
        </r>
        <r>
          <rPr>
            <sz val="9"/>
            <rFont val="Tahoma"/>
            <family val="0"/>
          </rPr>
          <t xml:space="preserve">
</t>
        </r>
      </text>
    </comment>
    <comment ref="A3" authorId="0">
      <text>
        <r>
          <rPr>
            <b/>
            <sz val="9"/>
            <rFont val="Tahoma"/>
            <family val="0"/>
          </rPr>
          <t>Le calcul de l'aire inscrite dans une courbe quelconque fermée est effectué comme suit : on réalise la somme des aires des triangles ayant pour sommets deux points successifs M1 et M2 de la courbe et le point O, origine des axes, mais en affectant l'aire de chaque triangle d'un signe positif ou négatif selon que l'angle en O entre les rayons OM1 et OM2 est positif ou négatif.
Nous avons bâti ce tableau "à l'intuition"  sans pouvoir affirmer qu'il ne peut pas être mis en défaut dans le cas de courbes vraiment très spéciales. Nous pensons quand-même que cette mise en défaut ne doit pas arriver...</t>
        </r>
      </text>
    </comment>
    <comment ref="D21" authorId="0">
      <text>
        <r>
          <rPr>
            <b/>
            <sz val="9"/>
            <rFont val="Tahoma"/>
            <family val="0"/>
          </rPr>
          <t>Le trente et unième point est indissolublement lié au premier : on ne peut donc pas le déplacer...</t>
        </r>
        <r>
          <rPr>
            <sz val="9"/>
            <rFont val="Tahoma"/>
            <family val="0"/>
          </rPr>
          <t xml:space="preserve">
</t>
        </r>
      </text>
    </comment>
  </commentList>
</comments>
</file>

<file path=xl/comments2.xml><?xml version="1.0" encoding="utf-8"?>
<comments xmlns="http://schemas.openxmlformats.org/spreadsheetml/2006/main">
  <authors>
    <author>Nous</author>
  </authors>
  <commentList>
    <comment ref="J4" authorId="0">
      <text>
        <r>
          <rPr>
            <b/>
            <sz val="9"/>
            <rFont val="Tahoma"/>
            <family val="0"/>
          </rPr>
          <t>Excel est assez pointilleux sur la présentation des listes de choix pour ses recherches automatique (RECHRCHEV ou RECHERCHEH).</t>
        </r>
        <r>
          <rPr>
            <sz val="9"/>
            <rFont val="Tahoma"/>
            <family val="0"/>
          </rPr>
          <t xml:space="preserve">
Il faut laisser le numéro du modèle devant son nom et, me semble-t-il, ne pas mettre de guillemets...</t>
        </r>
      </text>
    </comment>
  </commentList>
</comments>
</file>

<file path=xl/sharedStrings.xml><?xml version="1.0" encoding="utf-8"?>
<sst xmlns="http://schemas.openxmlformats.org/spreadsheetml/2006/main" count="79" uniqueCount="56">
  <si>
    <t>X</t>
  </si>
  <si>
    <t>Y</t>
  </si>
  <si>
    <t>L rayons</t>
  </si>
  <si>
    <t>analyseurs</t>
  </si>
  <si>
    <t>Angle entre</t>
  </si>
  <si>
    <t>deux rayons</t>
  </si>
  <si>
    <t>successifs</t>
  </si>
  <si>
    <t>D'où aire</t>
  </si>
  <si>
    <t>du triangle</t>
  </si>
  <si>
    <t xml:space="preserve">entre deux </t>
  </si>
  <si>
    <t>rayons</t>
  </si>
  <si>
    <t>Formes de références</t>
  </si>
  <si>
    <t>Position du centre</t>
  </si>
  <si>
    <t>Rayon =</t>
  </si>
  <si>
    <t>Y miroirs</t>
  </si>
  <si>
    <t>d'où Aire de ce Cercle :</t>
  </si>
  <si>
    <t>Cercle</t>
  </si>
  <si>
    <t>Cercle de rayon 22,844</t>
  </si>
  <si>
    <t>X modèles</t>
  </si>
  <si>
    <t>Y modèles</t>
  </si>
  <si>
    <t>1 Cercle</t>
  </si>
  <si>
    <t>2 Multitub Papyjo</t>
  </si>
  <si>
    <t>Liste des modèles :</t>
  </si>
  <si>
    <t>Ci-dessous Modèle actif</t>
  </si>
  <si>
    <t>Utilisation</t>
  </si>
  <si>
    <t>Pour dessin dimension caractéristique Horizontale :</t>
  </si>
  <si>
    <t>Aire mathématique de la courbe fuchsia sur le graphe :</t>
  </si>
  <si>
    <t>Pour dessin dimension caractéristique Verticale :</t>
  </si>
  <si>
    <t>Y :</t>
  </si>
  <si>
    <t>X gche&amp;droite :</t>
  </si>
  <si>
    <t>Y bas&amp;Haut :</t>
  </si>
  <si>
    <t>x :</t>
  </si>
  <si>
    <t>Dim Carct :</t>
  </si>
  <si>
    <t>Nous calculons ici l'aire inscrite dans une courbe fermée quelconque.</t>
  </si>
  <si>
    <t xml:space="preserve">     D'où aire réelle de la courbe :</t>
  </si>
  <si>
    <t>ci-dessous :</t>
  </si>
  <si>
    <t>Choisir un</t>
  </si>
  <si>
    <t>modèle</t>
  </si>
  <si>
    <t>Dimension Caractéristique horizontale réelle :</t>
  </si>
  <si>
    <t>Dimension Caractéristique verticale réelle :</t>
  </si>
  <si>
    <t>D'où coefficient de remplissage de la courbe fermée :</t>
  </si>
  <si>
    <t>3 Ellipse 1/2</t>
  </si>
  <si>
    <t>Empennage de fusée astuciel</t>
  </si>
  <si>
    <t>Ellipse</t>
  </si>
  <si>
    <t>4 Rectangle</t>
  </si>
  <si>
    <t>Ci-dessous le jeu de curseurs en X et le jeu de curseurs en Y</t>
  </si>
  <si>
    <t>permettant de déplacer les points de la courbe fuchsia</t>
  </si>
  <si>
    <t>Principes</t>
  </si>
  <si>
    <t xml:space="preserve">        Déplacement général de la courbe fuchsia</t>
  </si>
  <si>
    <t>Déplacement en X</t>
  </si>
  <si>
    <t>Déplacement en Y</t>
  </si>
  <si>
    <t>N° de ligne</t>
  </si>
  <si>
    <t>X corrigés</t>
  </si>
  <si>
    <t>Y corrigés</t>
  </si>
  <si>
    <t>Echelle horizontale de la courbe fuschia :</t>
  </si>
  <si>
    <t>Echelle verticale de la courbe fuschia :</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</si>
</sst>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00"/>
    <numFmt numFmtId="165" formatCode="0.000000"/>
    <numFmt numFmtId="166" formatCode="0.00000"/>
    <numFmt numFmtId="167" formatCode="0.0000"/>
    <numFmt numFmtId="168" formatCode="0.000"/>
    <numFmt numFmtId="169" formatCode="_-* #,##0.000\ _€_-;\-* #,##0.000\ _€_-;_-* &quot;-&quot;??\ _€_-;_-@_-"/>
    <numFmt numFmtId="170" formatCode="_-* #,##0.0000\ _€_-;\-* #,##0.0000\ _€_-;_-* &quot;-&quot;??\ _€_-;_-@_-"/>
  </numFmts>
  <fonts count="19">
    <font>
      <sz val="10"/>
      <name val="Arial"/>
      <family val="0"/>
    </font>
    <font>
      <sz val="8"/>
      <name val="Arial"/>
      <family val="2"/>
    </font>
    <font>
      <sz val="12"/>
      <name val="Arial"/>
      <family val="0"/>
    </font>
    <font>
      <sz val="9"/>
      <name val="Arial"/>
      <family val="2"/>
    </font>
    <font>
      <sz val="9"/>
      <name val="Tahoma"/>
      <family val="0"/>
    </font>
    <font>
      <b/>
      <sz val="9"/>
      <name val="Tahoma"/>
      <family val="0"/>
    </font>
    <font>
      <b/>
      <sz val="10"/>
      <color indexed="10"/>
      <name val="Arial"/>
      <family val="2"/>
    </font>
    <font>
      <b/>
      <sz val="16.75"/>
      <name val="Arial"/>
      <family val="0"/>
    </font>
    <font>
      <b/>
      <sz val="9"/>
      <color indexed="10"/>
      <name val="Arial"/>
      <family val="2"/>
    </font>
    <font>
      <b/>
      <u val="single"/>
      <sz val="9"/>
      <name val="Tahoma"/>
      <family val="2"/>
    </font>
    <font>
      <b/>
      <u val="single"/>
      <sz val="9"/>
      <color indexed="10"/>
      <name val="Tahoma"/>
      <family val="2"/>
    </font>
    <font>
      <b/>
      <sz val="11"/>
      <name val="Arial"/>
      <family val="0"/>
    </font>
    <font>
      <b/>
      <i/>
      <sz val="9"/>
      <name val="Tahoma"/>
      <family val="2"/>
    </font>
    <font>
      <sz val="8"/>
      <color indexed="9"/>
      <name val="Arial"/>
      <family val="2"/>
    </font>
    <font>
      <sz val="10"/>
      <color indexed="9"/>
      <name val="Arial"/>
      <family val="2"/>
    </font>
    <font>
      <sz val="10"/>
      <color indexed="14"/>
      <name val="Arial"/>
      <family val="2"/>
    </font>
    <font>
      <sz val="8"/>
      <color indexed="14"/>
      <name val="Arial"/>
      <family val="2"/>
    </font>
    <font>
      <sz val="8"/>
      <name val="Tahoma"/>
      <family val="2"/>
    </font>
    <font>
      <b/>
      <sz val="8"/>
      <name val="Arial"/>
      <family val="2"/>
    </font>
  </fonts>
  <fills count="8">
    <fill>
      <patternFill/>
    </fill>
    <fill>
      <patternFill patternType="gray125"/>
    </fill>
    <fill>
      <patternFill patternType="solid">
        <fgColor indexed="22"/>
        <bgColor indexed="64"/>
      </patternFill>
    </fill>
    <fill>
      <patternFill patternType="solid">
        <fgColor indexed="15"/>
        <bgColor indexed="64"/>
      </patternFill>
    </fill>
    <fill>
      <patternFill patternType="solid">
        <fgColor indexed="13"/>
        <bgColor indexed="64"/>
      </patternFill>
    </fill>
    <fill>
      <patternFill patternType="solid">
        <fgColor indexed="11"/>
        <bgColor indexed="64"/>
      </patternFill>
    </fill>
    <fill>
      <patternFill patternType="solid">
        <fgColor indexed="52"/>
        <bgColor indexed="64"/>
      </patternFill>
    </fill>
    <fill>
      <patternFill patternType="solid">
        <fgColor indexed="8"/>
        <bgColor indexed="64"/>
      </patternFill>
    </fill>
  </fills>
  <borders count="16">
    <border>
      <left/>
      <right/>
      <top/>
      <bottom/>
      <diagonal/>
    </border>
    <border>
      <left style="medium"/>
      <right style="medium"/>
      <top style="medium"/>
      <bottom>
        <color indexed="63"/>
      </bottom>
    </border>
    <border>
      <left style="medium"/>
      <right style="medium"/>
      <top>
        <color indexed="63"/>
      </top>
      <bottom style="medium"/>
    </border>
    <border>
      <left style="medium"/>
      <right>
        <color indexed="63"/>
      </right>
      <top>
        <color indexed="63"/>
      </top>
      <bottom style="medium"/>
    </border>
    <border>
      <left style="medium"/>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8">
    <xf numFmtId="0" fontId="0" fillId="0" borderId="0" xfId="0" applyAlignment="1">
      <alignment/>
    </xf>
    <xf numFmtId="0" fontId="0" fillId="0" borderId="0" xfId="0"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0" xfId="0" applyFill="1" applyBorder="1" applyAlignment="1">
      <alignment horizontal="center"/>
    </xf>
    <xf numFmtId="0" fontId="0" fillId="0" borderId="3" xfId="0" applyBorder="1" applyAlignment="1">
      <alignment horizontal="center"/>
    </xf>
    <xf numFmtId="0" fontId="0" fillId="0" borderId="4" xfId="0" applyFill="1" applyBorder="1" applyAlignment="1">
      <alignment horizontal="center"/>
    </xf>
    <xf numFmtId="0" fontId="0" fillId="0" borderId="5" xfId="0" applyBorder="1" applyAlignment="1">
      <alignment/>
    </xf>
    <xf numFmtId="0" fontId="0" fillId="0" borderId="6" xfId="0" applyFill="1" applyBorder="1" applyAlignment="1">
      <alignment horizontal="center"/>
    </xf>
    <xf numFmtId="0" fontId="0" fillId="0" borderId="3" xfId="0" applyBorder="1" applyAlignment="1">
      <alignment/>
    </xf>
    <xf numFmtId="0" fontId="0" fillId="0" borderId="4" xfId="0" applyBorder="1" applyAlignment="1">
      <alignment horizontal="center"/>
    </xf>
    <xf numFmtId="168" fontId="0" fillId="0" borderId="0" xfId="0" applyNumberFormat="1" applyAlignment="1">
      <alignment horizontal="center"/>
    </xf>
    <xf numFmtId="0" fontId="0" fillId="0" borderId="7" xfId="0" applyFill="1" applyBorder="1" applyAlignment="1">
      <alignment horizontal="center"/>
    </xf>
    <xf numFmtId="0" fontId="0" fillId="0" borderId="0" xfId="0" applyAlignment="1">
      <alignment horizontal="right"/>
    </xf>
    <xf numFmtId="0" fontId="0" fillId="0" borderId="0" xfId="0" applyFill="1" applyBorder="1" applyAlignment="1">
      <alignment/>
    </xf>
    <xf numFmtId="0" fontId="0" fillId="0" borderId="0" xfId="0"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7" xfId="0" applyBorder="1" applyAlignment="1">
      <alignment/>
    </xf>
    <xf numFmtId="0" fontId="0" fillId="0" borderId="6" xfId="0" applyBorder="1" applyAlignment="1">
      <alignment/>
    </xf>
    <xf numFmtId="0" fontId="0" fillId="0" borderId="13" xfId="0" applyBorder="1" applyAlignment="1">
      <alignment/>
    </xf>
    <xf numFmtId="0" fontId="0" fillId="0" borderId="0" xfId="0" applyFill="1" applyAlignment="1">
      <alignment/>
    </xf>
    <xf numFmtId="0" fontId="0" fillId="0" borderId="13" xfId="0" applyFill="1" applyBorder="1" applyAlignment="1">
      <alignment/>
    </xf>
    <xf numFmtId="168" fontId="0" fillId="0" borderId="0" xfId="0" applyNumberFormat="1" applyFill="1" applyAlignment="1">
      <alignment horizontal="center"/>
    </xf>
    <xf numFmtId="0" fontId="0" fillId="2" borderId="6" xfId="0" applyFill="1" applyBorder="1" applyAlignment="1">
      <alignment/>
    </xf>
    <xf numFmtId="0" fontId="0" fillId="2" borderId="13" xfId="0" applyFill="1" applyBorder="1" applyAlignment="1">
      <alignment/>
    </xf>
    <xf numFmtId="0" fontId="0" fillId="0" borderId="0" xfId="0" applyBorder="1" applyAlignment="1">
      <alignment/>
    </xf>
    <xf numFmtId="0" fontId="1" fillId="0" borderId="0" xfId="0" applyFont="1" applyBorder="1" applyAlignment="1">
      <alignment/>
    </xf>
    <xf numFmtId="0" fontId="0" fillId="0" borderId="8" xfId="0" applyBorder="1" applyAlignment="1">
      <alignment horizontal="center"/>
    </xf>
    <xf numFmtId="0" fontId="0" fillId="0" borderId="7" xfId="0" applyBorder="1" applyAlignment="1">
      <alignment horizontal="center"/>
    </xf>
    <xf numFmtId="0" fontId="0" fillId="0" borderId="11" xfId="0" applyFill="1" applyBorder="1" applyAlignment="1">
      <alignment/>
    </xf>
    <xf numFmtId="0" fontId="0" fillId="0" borderId="12" xfId="0" applyFill="1" applyBorder="1" applyAlignment="1">
      <alignment/>
    </xf>
    <xf numFmtId="0" fontId="0" fillId="0" borderId="9" xfId="0" applyBorder="1" applyAlignment="1">
      <alignment horizontal="right"/>
    </xf>
    <xf numFmtId="0" fontId="0" fillId="0" borderId="14" xfId="0" applyBorder="1" applyAlignment="1">
      <alignment horizontal="center"/>
    </xf>
    <xf numFmtId="0" fontId="0" fillId="0" borderId="14" xfId="0" applyFill="1" applyBorder="1" applyAlignment="1">
      <alignment/>
    </xf>
    <xf numFmtId="0" fontId="0" fillId="0" borderId="0" xfId="0" applyFill="1" applyBorder="1" applyAlignment="1">
      <alignment/>
    </xf>
    <xf numFmtId="0" fontId="0" fillId="0" borderId="15" xfId="0" applyFill="1" applyBorder="1" applyAlignment="1">
      <alignment/>
    </xf>
    <xf numFmtId="0" fontId="0" fillId="2" borderId="0" xfId="0" applyFill="1" applyBorder="1" applyAlignment="1">
      <alignment/>
    </xf>
    <xf numFmtId="0" fontId="0" fillId="2" borderId="0" xfId="0" applyFill="1" applyAlignment="1">
      <alignment/>
    </xf>
    <xf numFmtId="168" fontId="0" fillId="0" borderId="0" xfId="0" applyNumberFormat="1" applyBorder="1" applyAlignment="1">
      <alignment horizontal="center"/>
    </xf>
    <xf numFmtId="0" fontId="0" fillId="0" borderId="8" xfId="0" applyFill="1" applyBorder="1" applyAlignment="1">
      <alignment/>
    </xf>
    <xf numFmtId="0" fontId="0" fillId="2" borderId="5" xfId="0" applyFill="1" applyBorder="1" applyAlignment="1">
      <alignment/>
    </xf>
    <xf numFmtId="0" fontId="0" fillId="2" borderId="14" xfId="0" applyFill="1" applyBorder="1" applyAlignment="1">
      <alignment/>
    </xf>
    <xf numFmtId="0" fontId="0" fillId="2" borderId="11" xfId="0" applyFill="1" applyBorder="1" applyAlignment="1">
      <alignment horizontal="right"/>
    </xf>
    <xf numFmtId="0" fontId="0" fillId="2" borderId="8" xfId="0" applyFill="1" applyBorder="1" applyAlignment="1">
      <alignment horizontal="right"/>
    </xf>
    <xf numFmtId="0" fontId="0" fillId="2" borderId="9" xfId="0" applyFill="1" applyBorder="1" applyAlignment="1">
      <alignment/>
    </xf>
    <xf numFmtId="0" fontId="0" fillId="2" borderId="10" xfId="0" applyFill="1" applyBorder="1" applyAlignment="1">
      <alignment/>
    </xf>
    <xf numFmtId="0" fontId="0" fillId="2" borderId="3" xfId="0" applyFill="1" applyBorder="1" applyAlignment="1">
      <alignment/>
    </xf>
    <xf numFmtId="0" fontId="0" fillId="2" borderId="15" xfId="0" applyFill="1" applyBorder="1" applyAlignment="1">
      <alignment/>
    </xf>
    <xf numFmtId="0" fontId="1" fillId="2" borderId="8" xfId="0" applyFont="1" applyFill="1" applyBorder="1" applyAlignment="1">
      <alignment horizontal="right"/>
    </xf>
    <xf numFmtId="0" fontId="0" fillId="2" borderId="1" xfId="0" applyFill="1" applyBorder="1" applyAlignment="1">
      <alignment horizontal="center"/>
    </xf>
    <xf numFmtId="0" fontId="0" fillId="2" borderId="2" xfId="0" applyFill="1" applyBorder="1" applyAlignment="1">
      <alignment horizontal="center"/>
    </xf>
    <xf numFmtId="0" fontId="6" fillId="0" borderId="8" xfId="0" applyFont="1" applyBorder="1" applyAlignment="1">
      <alignment/>
    </xf>
    <xf numFmtId="0" fontId="6" fillId="0" borderId="7" xfId="0" applyFont="1" applyBorder="1" applyAlignment="1">
      <alignment horizontal="center"/>
    </xf>
    <xf numFmtId="0" fontId="6" fillId="3" borderId="8" xfId="0" applyFont="1" applyFill="1" applyBorder="1" applyAlignment="1">
      <alignment/>
    </xf>
    <xf numFmtId="0" fontId="0" fillId="3" borderId="9" xfId="0" applyFill="1" applyBorder="1" applyAlignment="1">
      <alignment/>
    </xf>
    <xf numFmtId="0" fontId="8" fillId="4" borderId="8" xfId="0" applyFont="1" applyFill="1" applyBorder="1" applyAlignment="1">
      <alignment/>
    </xf>
    <xf numFmtId="0" fontId="8" fillId="4" borderId="9" xfId="0" applyFont="1" applyFill="1" applyBorder="1" applyAlignment="1">
      <alignment/>
    </xf>
    <xf numFmtId="2" fontId="8" fillId="4" borderId="10" xfId="0" applyNumberFormat="1" applyFont="1" applyFill="1" applyBorder="1" applyAlignment="1">
      <alignment horizontal="center"/>
    </xf>
    <xf numFmtId="168" fontId="3" fillId="0" borderId="0" xfId="0" applyNumberFormat="1" applyFont="1" applyBorder="1" applyAlignment="1">
      <alignment horizontal="center"/>
    </xf>
    <xf numFmtId="0" fontId="0" fillId="5" borderId="5" xfId="0" applyFont="1" applyFill="1" applyBorder="1" applyAlignment="1">
      <alignment/>
    </xf>
    <xf numFmtId="0" fontId="0" fillId="5" borderId="3" xfId="0" applyFont="1" applyFill="1" applyBorder="1" applyAlignment="1">
      <alignment/>
    </xf>
    <xf numFmtId="0" fontId="0" fillId="5" borderId="12" xfId="0" applyFont="1" applyFill="1" applyBorder="1" applyAlignment="1">
      <alignment/>
    </xf>
    <xf numFmtId="0" fontId="3" fillId="0" borderId="0" xfId="0" applyFont="1" applyFill="1" applyBorder="1" applyAlignment="1">
      <alignment/>
    </xf>
    <xf numFmtId="0" fontId="1" fillId="0" borderId="0" xfId="0" applyFont="1" applyAlignment="1">
      <alignment/>
    </xf>
    <xf numFmtId="0" fontId="0" fillId="6" borderId="1" xfId="0" applyFill="1" applyBorder="1" applyAlignment="1">
      <alignment/>
    </xf>
    <xf numFmtId="0" fontId="3" fillId="6" borderId="4" xfId="0" applyFont="1" applyFill="1" applyBorder="1" applyAlignment="1">
      <alignment/>
    </xf>
    <xf numFmtId="0" fontId="0" fillId="6" borderId="4" xfId="0" applyFill="1" applyBorder="1" applyAlignment="1">
      <alignment/>
    </xf>
    <xf numFmtId="0" fontId="0" fillId="0" borderId="14" xfId="0" applyBorder="1" applyAlignment="1">
      <alignment/>
    </xf>
    <xf numFmtId="0" fontId="8" fillId="0" borderId="0" xfId="0" applyFont="1" applyFill="1" applyBorder="1" applyAlignment="1">
      <alignment/>
    </xf>
    <xf numFmtId="2" fontId="0" fillId="0" borderId="0" xfId="0" applyNumberFormat="1" applyBorder="1" applyAlignment="1">
      <alignment/>
    </xf>
    <xf numFmtId="168" fontId="0" fillId="0" borderId="10" xfId="0" applyNumberFormat="1" applyBorder="1" applyAlignment="1">
      <alignment horizontal="center"/>
    </xf>
    <xf numFmtId="0" fontId="0" fillId="5" borderId="11" xfId="0" applyFont="1" applyFill="1" applyBorder="1" applyAlignment="1">
      <alignment/>
    </xf>
    <xf numFmtId="2" fontId="6" fillId="3" borderId="10" xfId="0" applyNumberFormat="1" applyFont="1" applyFill="1" applyBorder="1" applyAlignment="1">
      <alignment horizontal="center"/>
    </xf>
    <xf numFmtId="2" fontId="0" fillId="0" borderId="0" xfId="0" applyNumberFormat="1" applyAlignment="1">
      <alignment/>
    </xf>
    <xf numFmtId="2" fontId="0" fillId="0" borderId="0" xfId="0" applyNumberFormat="1" applyAlignment="1">
      <alignment horizontal="center"/>
    </xf>
    <xf numFmtId="0" fontId="0" fillId="0" borderId="6" xfId="0" applyFont="1" applyFill="1" applyBorder="1" applyAlignment="1">
      <alignment horizontal="center"/>
    </xf>
    <xf numFmtId="0" fontId="0" fillId="0" borderId="6" xfId="0" applyBorder="1" applyAlignment="1">
      <alignment horizontal="center"/>
    </xf>
    <xf numFmtId="2" fontId="0" fillId="0" borderId="0" xfId="15" applyNumberFormat="1" applyAlignment="1">
      <alignment horizontal="center"/>
    </xf>
    <xf numFmtId="0" fontId="0" fillId="0" borderId="3" xfId="0" applyFill="1" applyBorder="1" applyAlignment="1">
      <alignment horizontal="center"/>
    </xf>
    <xf numFmtId="0" fontId="0" fillId="0" borderId="11" xfId="0" applyFill="1" applyBorder="1" applyAlignment="1">
      <alignment horizontal="center"/>
    </xf>
    <xf numFmtId="0" fontId="0" fillId="0" borderId="13" xfId="0" applyFill="1" applyBorder="1" applyAlignment="1">
      <alignment horizontal="center"/>
    </xf>
    <xf numFmtId="0" fontId="0" fillId="0" borderId="13" xfId="0" applyBorder="1" applyAlignment="1">
      <alignment horizontal="center"/>
    </xf>
    <xf numFmtId="0" fontId="0" fillId="0" borderId="12" xfId="0" applyFill="1" applyBorder="1" applyAlignment="1">
      <alignment horizontal="center"/>
    </xf>
    <xf numFmtId="0" fontId="13" fillId="7" borderId="8" xfId="0" applyFont="1" applyFill="1" applyBorder="1" applyAlignment="1">
      <alignment/>
    </xf>
    <xf numFmtId="0" fontId="13" fillId="7" borderId="14" xfId="0" applyFont="1" applyFill="1" applyBorder="1" applyAlignment="1">
      <alignment/>
    </xf>
    <xf numFmtId="0" fontId="14" fillId="7" borderId="10" xfId="0" applyFont="1" applyFill="1" applyBorder="1" applyAlignment="1">
      <alignment horizontal="center"/>
    </xf>
    <xf numFmtId="0" fontId="14" fillId="7" borderId="8" xfId="0" applyFont="1" applyFill="1" applyBorder="1" applyAlignment="1">
      <alignment/>
    </xf>
    <xf numFmtId="0" fontId="14" fillId="7" borderId="3" xfId="0" applyFont="1" applyFill="1" applyBorder="1" applyAlignment="1">
      <alignment/>
    </xf>
    <xf numFmtId="0" fontId="1" fillId="0" borderId="5" xfId="0" applyFont="1" applyBorder="1" applyAlignment="1">
      <alignment/>
    </xf>
    <xf numFmtId="0" fontId="1" fillId="0" borderId="11" xfId="0" applyFont="1" applyBorder="1" applyAlignment="1">
      <alignment/>
    </xf>
    <xf numFmtId="0" fontId="1" fillId="0" borderId="3" xfId="0" applyFont="1" applyBorder="1" applyAlignment="1">
      <alignment/>
    </xf>
    <xf numFmtId="0" fontId="1" fillId="0" borderId="12" xfId="0" applyFont="1" applyBorder="1" applyAlignment="1">
      <alignment/>
    </xf>
    <xf numFmtId="0" fontId="0" fillId="0" borderId="0" xfId="0" applyBorder="1" applyAlignment="1">
      <alignment horizontal="left"/>
    </xf>
    <xf numFmtId="0" fontId="0" fillId="0" borderId="0" xfId="0" applyBorder="1" applyAlignment="1">
      <alignment horizontal="center"/>
    </xf>
    <xf numFmtId="0" fontId="0" fillId="0" borderId="10" xfId="0" applyBorder="1" applyAlignment="1">
      <alignment horizontal="center"/>
    </xf>
    <xf numFmtId="0" fontId="0" fillId="5" borderId="1" xfId="0" applyFont="1" applyFill="1" applyBorder="1" applyAlignment="1">
      <alignment horizontal="center"/>
    </xf>
    <xf numFmtId="168" fontId="0" fillId="5" borderId="2" xfId="0" applyNumberFormat="1" applyFont="1" applyFill="1" applyBorder="1" applyAlignment="1">
      <alignment horizontal="center"/>
    </xf>
    <xf numFmtId="0" fontId="0" fillId="5" borderId="5" xfId="0" applyFont="1" applyFill="1" applyBorder="1" applyAlignment="1">
      <alignment horizontal="center"/>
    </xf>
    <xf numFmtId="168" fontId="0" fillId="5" borderId="3" xfId="0" applyNumberFormat="1" applyFont="1" applyFill="1" applyBorder="1" applyAlignment="1">
      <alignment horizontal="center"/>
    </xf>
    <xf numFmtId="168" fontId="15" fillId="0" borderId="1" xfId="0" applyNumberFormat="1" applyFont="1" applyFill="1" applyBorder="1" applyAlignment="1">
      <alignment horizontal="center"/>
    </xf>
    <xf numFmtId="168" fontId="15" fillId="0" borderId="4" xfId="0" applyNumberFormat="1" applyFont="1" applyFill="1" applyBorder="1" applyAlignment="1">
      <alignment horizontal="center"/>
    </xf>
    <xf numFmtId="167" fontId="0" fillId="0" borderId="0" xfId="0" applyNumberFormat="1" applyFill="1" applyBorder="1" applyAlignment="1">
      <alignment horizontal="center"/>
    </xf>
    <xf numFmtId="0" fontId="0" fillId="6" borderId="5" xfId="0" applyFill="1" applyBorder="1" applyAlignment="1">
      <alignment/>
    </xf>
    <xf numFmtId="0" fontId="0" fillId="6" borderId="11" xfId="0" applyFill="1" applyBorder="1" applyAlignment="1">
      <alignment/>
    </xf>
    <xf numFmtId="168" fontId="0" fillId="6" borderId="7" xfId="0" applyNumberFormat="1" applyFill="1" applyBorder="1" applyAlignment="1">
      <alignment horizontal="center"/>
    </xf>
    <xf numFmtId="0" fontId="0" fillId="6" borderId="12" xfId="0" applyFill="1" applyBorder="1" applyAlignment="1">
      <alignment/>
    </xf>
    <xf numFmtId="0" fontId="0" fillId="0" borderId="6" xfId="0" applyFill="1" applyBorder="1" applyAlignment="1">
      <alignment/>
    </xf>
    <xf numFmtId="168" fontId="15" fillId="0" borderId="11" xfId="0" applyNumberFormat="1" applyFont="1" applyFill="1" applyBorder="1" applyAlignment="1">
      <alignment horizontal="center"/>
    </xf>
    <xf numFmtId="168" fontId="15" fillId="0" borderId="13" xfId="0" applyNumberFormat="1" applyFont="1" applyFill="1" applyBorder="1" applyAlignment="1">
      <alignment horizontal="center"/>
    </xf>
    <xf numFmtId="168" fontId="15" fillId="0" borderId="12" xfId="0" applyNumberFormat="1" applyFont="1" applyFill="1" applyBorder="1" applyAlignment="1">
      <alignment horizontal="center"/>
    </xf>
    <xf numFmtId="0" fontId="16" fillId="0" borderId="11" xfId="0" applyFont="1" applyBorder="1" applyAlignment="1">
      <alignment horizontal="center"/>
    </xf>
    <xf numFmtId="168" fontId="15" fillId="0" borderId="7" xfId="0" applyNumberFormat="1" applyFont="1" applyFill="1" applyBorder="1" applyAlignment="1">
      <alignment horizontal="center"/>
    </xf>
    <xf numFmtId="0" fontId="0" fillId="6" borderId="1" xfId="0" applyFont="1" applyFill="1" applyBorder="1" applyAlignment="1">
      <alignment horizontal="center" wrapText="1"/>
    </xf>
    <xf numFmtId="0" fontId="0" fillId="0" borderId="2" xfId="0"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14.jpeg" /></Relationships>
</file>

<file path=xl/charts/_rels/chart2.xml.rels><?xml version="1.0" encoding="utf-8" standalone="yes"?><Relationships xmlns="http://schemas.openxmlformats.org/package/2006/relationships"><Relationship Id="rId1" Type="http://schemas.openxmlformats.org/officeDocument/2006/relationships/image" Target="../media/image15.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1" i="0" u="none" baseline="0">
                <a:latin typeface="Arial"/>
                <a:ea typeface="Arial"/>
                <a:cs typeface="Arial"/>
              </a:rPr>
              <a:t>Saisie de la courbe fermée quelconque</a:t>
            </a:r>
          </a:p>
        </c:rich>
      </c:tx>
      <c:layout>
        <c:manualLayout>
          <c:xMode val="factor"/>
          <c:yMode val="factor"/>
          <c:x val="-0.0115"/>
          <c:y val="-0.00725"/>
        </c:manualLayout>
      </c:layout>
      <c:spPr>
        <a:noFill/>
        <a:ln>
          <a:noFill/>
        </a:ln>
      </c:spPr>
    </c:title>
    <c:plotArea>
      <c:layout>
        <c:manualLayout>
          <c:xMode val="edge"/>
          <c:yMode val="edge"/>
          <c:x val="0.0245"/>
          <c:y val="0.0795"/>
          <c:w val="0.93025"/>
          <c:h val="0.87925"/>
        </c:manualLayout>
      </c:layout>
      <c:scatterChart>
        <c:scatterStyle val="lineMarker"/>
        <c:varyColors val="0"/>
        <c:ser>
          <c:idx val="0"/>
          <c:order val="0"/>
          <c:tx>
            <c:v>1/2 Cercle supérieur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Saisie!$J$17:$J$47</c:f>
              <c:numCache/>
            </c:numRef>
          </c:xVal>
          <c:yVal>
            <c:numRef>
              <c:f>Saisie!$K$17:$K$47</c:f>
              <c:numCache/>
            </c:numRef>
          </c:yVal>
          <c:smooth val="0"/>
        </c:ser>
        <c:ser>
          <c:idx val="1"/>
          <c:order val="1"/>
          <c:tx>
            <c:v>Courbe quelconque</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FFFF"/>
                </a:solidFill>
              </a:ln>
            </c:spPr>
          </c:marker>
          <c:xVal>
            <c:numRef>
              <c:f>Saisie!$J$17:$J$47</c:f>
              <c:numCache/>
            </c:numRef>
          </c:xVal>
          <c:yVal>
            <c:numRef>
              <c:f>Saisie!$K$17:$K$47</c:f>
              <c:numCache/>
            </c:numRef>
          </c:yVal>
          <c:smooth val="0"/>
        </c:ser>
        <c:ser>
          <c:idx val="3"/>
          <c:order val="2"/>
          <c:tx>
            <c:v>Courbe pour déplacement général</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Pt>
            <c:idx val="30"/>
            <c:spPr>
              <a:ln w="12700">
                <a:solidFill>
                  <a:srgbClr val="FF00FF"/>
                </a:solidFill>
              </a:ln>
            </c:spPr>
            <c:marker>
              <c:symbol val="plus"/>
              <c:size val="15"/>
              <c:spPr>
                <a:noFill/>
                <a:ln>
                  <a:solidFill>
                    <a:srgbClr val="FF00FF"/>
                  </a:solidFill>
                </a:ln>
              </c:spPr>
            </c:marker>
          </c:dPt>
          <c:xVal>
            <c:numRef>
              <c:f>Saisie!$H$17:$H$47</c:f>
              <c:numCache/>
            </c:numRef>
          </c:xVal>
          <c:yVal>
            <c:numRef>
              <c:f>Saisie!$I$17:$I$47</c:f>
              <c:numCache/>
            </c:numRef>
          </c:yVal>
          <c:smooth val="0"/>
        </c:ser>
        <c:ser>
          <c:idx val="2"/>
          <c:order val="3"/>
          <c:tx>
            <c:v>DimCarctH</c:v>
          </c:tx>
          <c:extLst>
            <c:ext xmlns:c14="http://schemas.microsoft.com/office/drawing/2007/8/2/chart" uri="{6F2FDCE9-48DA-4B69-8628-5D25D57E5C99}">
              <c14:invertSolidFillFmt>
                <c14:spPr>
                  <a:solidFill>
                    <a:srgbClr val="000000"/>
                  </a:solidFill>
                </c14:spPr>
              </c14:invertSolidFillFmt>
            </c:ext>
          </c:extLst>
          <c:marker>
            <c:symbol val="plus"/>
            <c:size val="25"/>
            <c:spPr>
              <a:noFill/>
              <a:ln>
                <a:solidFill>
                  <a:srgbClr val="FFFF00"/>
                </a:solidFill>
              </a:ln>
            </c:spPr>
          </c:marker>
          <c:xVal>
            <c:numRef>
              <c:f>Saisie!$K$2:$L$2</c:f>
              <c:numCache/>
            </c:numRef>
          </c:xVal>
          <c:yVal>
            <c:numRef>
              <c:f>Saisie!$L$4:$M$4</c:f>
              <c:numCache/>
            </c:numRef>
          </c:yVal>
          <c:smooth val="0"/>
        </c:ser>
        <c:ser>
          <c:idx val="4"/>
          <c:order val="4"/>
          <c:tx>
            <c:v>DimCaractV</c:v>
          </c:tx>
          <c:spPr>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plus"/>
            <c:size val="20"/>
            <c:spPr>
              <a:noFill/>
              <a:ln>
                <a:solidFill>
                  <a:srgbClr val="FFCC00"/>
                </a:solidFill>
              </a:ln>
            </c:spPr>
          </c:marker>
          <c:xVal>
            <c:numRef>
              <c:f>Saisie!$L$11:$M$11</c:f>
              <c:numCache/>
            </c:numRef>
          </c:xVal>
          <c:yVal>
            <c:numRef>
              <c:f>Saisie!$K$9:$L$9</c:f>
              <c:numCache/>
            </c:numRef>
          </c:yVal>
          <c:smooth val="0"/>
        </c:ser>
        <c:axId val="56422906"/>
        <c:axId val="25231435"/>
      </c:scatterChart>
      <c:valAx>
        <c:axId val="56422906"/>
        <c:scaling>
          <c:orientation val="minMax"/>
          <c:max val="30"/>
          <c:min val="0"/>
        </c:scaling>
        <c:axPos val="b"/>
        <c:delete val="0"/>
        <c:numFmt formatCode="General" sourceLinked="1"/>
        <c:majorTickMark val="out"/>
        <c:minorTickMark val="none"/>
        <c:tickLblPos val="nextTo"/>
        <c:crossAx val="25231435"/>
        <c:crosses val="autoZero"/>
        <c:crossBetween val="midCat"/>
        <c:dispUnits/>
      </c:valAx>
      <c:valAx>
        <c:axId val="25231435"/>
        <c:scaling>
          <c:orientation val="minMax"/>
          <c:max val="10"/>
          <c:min val="-10"/>
        </c:scaling>
        <c:axPos val="l"/>
        <c:majorGridlines/>
        <c:delete val="0"/>
        <c:numFmt formatCode="General" sourceLinked="1"/>
        <c:majorTickMark val="out"/>
        <c:minorTickMark val="none"/>
        <c:tickLblPos val="nextTo"/>
        <c:crossAx val="56422906"/>
        <c:crosses val="autoZero"/>
        <c:crossBetween val="midCat"/>
        <c:dispUnits/>
      </c:valAx>
      <c:spPr>
        <a:blipFill>
          <a:blip r:embed="rId1"/>
          <a:srcRect/>
          <a:stretch>
            <a:fillRect/>
          </a:stretch>
        </a:blip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Saisie de la courbe fermée quelconque</a:t>
            </a:r>
          </a:p>
        </c:rich>
      </c:tx>
      <c:layout>
        <c:manualLayout>
          <c:xMode val="factor"/>
          <c:yMode val="factor"/>
          <c:x val="-0.0115"/>
          <c:y val="-0.00725"/>
        </c:manualLayout>
      </c:layout>
      <c:spPr>
        <a:noFill/>
        <a:ln>
          <a:noFill/>
        </a:ln>
      </c:spPr>
    </c:title>
    <c:plotArea>
      <c:layout>
        <c:manualLayout>
          <c:xMode val="edge"/>
          <c:yMode val="edge"/>
          <c:x val="0.0305"/>
          <c:y val="0.0915"/>
          <c:w val="0.9185"/>
          <c:h val="0.859"/>
        </c:manualLayout>
      </c:layout>
      <c:scatterChart>
        <c:scatterStyle val="lineMarker"/>
        <c:varyColors val="0"/>
        <c:ser>
          <c:idx val="0"/>
          <c:order val="0"/>
          <c:tx>
            <c:v>1/2 Cercle supérieur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Saisie!$J$17:$J$47</c:f>
              <c:numCache>
                <c:ptCount val="31"/>
                <c:pt idx="0">
                  <c:v>3.490666666666666</c:v>
                </c:pt>
                <c:pt idx="1">
                  <c:v>3.5133333333333354</c:v>
                </c:pt>
                <c:pt idx="2">
                  <c:v>3.0820000000000007</c:v>
                </c:pt>
                <c:pt idx="3">
                  <c:v>2.3633333333333333</c:v>
                </c:pt>
                <c:pt idx="4">
                  <c:v>0.9193333333333342</c:v>
                </c:pt>
                <c:pt idx="5">
                  <c:v>1.2226666666666688</c:v>
                </c:pt>
                <c:pt idx="6">
                  <c:v>2.519333333333332</c:v>
                </c:pt>
                <c:pt idx="7">
                  <c:v>5.049333333333333</c:v>
                </c:pt>
                <c:pt idx="8">
                  <c:v>7.559333333333331</c:v>
                </c:pt>
                <c:pt idx="9">
                  <c:v>11.056000000000001</c:v>
                </c:pt>
                <c:pt idx="10">
                  <c:v>13.766000000000002</c:v>
                </c:pt>
                <c:pt idx="11">
                  <c:v>16.055999999999997</c:v>
                </c:pt>
                <c:pt idx="12">
                  <c:v>19.099333333333334</c:v>
                </c:pt>
                <c:pt idx="13">
                  <c:v>21.896</c:v>
                </c:pt>
                <c:pt idx="14">
                  <c:v>24.138000000000005</c:v>
                </c:pt>
                <c:pt idx="15">
                  <c:v>25.476</c:v>
                </c:pt>
                <c:pt idx="16">
                  <c:v>25.915999999999997</c:v>
                </c:pt>
                <c:pt idx="17">
                  <c:v>25.406</c:v>
                </c:pt>
                <c:pt idx="18">
                  <c:v>23.75933333333333</c:v>
                </c:pt>
                <c:pt idx="19">
                  <c:v>20.136000000000003</c:v>
                </c:pt>
                <c:pt idx="20">
                  <c:v>15.492666666666665</c:v>
                </c:pt>
                <c:pt idx="21">
                  <c:v>12.555999999999997</c:v>
                </c:pt>
                <c:pt idx="22">
                  <c:v>9.856000000000002</c:v>
                </c:pt>
                <c:pt idx="23">
                  <c:v>6.056000000000001</c:v>
                </c:pt>
                <c:pt idx="24">
                  <c:v>3.022666666666666</c:v>
                </c:pt>
                <c:pt idx="25">
                  <c:v>1.979333333333333</c:v>
                </c:pt>
                <c:pt idx="26">
                  <c:v>1.512666666666668</c:v>
                </c:pt>
                <c:pt idx="27">
                  <c:v>2.3226666666666667</c:v>
                </c:pt>
                <c:pt idx="28">
                  <c:v>2.922666666666668</c:v>
                </c:pt>
                <c:pt idx="29">
                  <c:v>3.3826666666666654</c:v>
                </c:pt>
                <c:pt idx="30">
                  <c:v>3.490666666666666</c:v>
                </c:pt>
              </c:numCache>
            </c:numRef>
          </c:xVal>
          <c:yVal>
            <c:numRef>
              <c:f>Saisie!$K$17:$K$47</c:f>
              <c:numCache>
                <c:ptCount val="31"/>
                <c:pt idx="0">
                  <c:v>-0.4793333333333347</c:v>
                </c:pt>
                <c:pt idx="1">
                  <c:v>0.7893333333333317</c:v>
                </c:pt>
                <c:pt idx="2">
                  <c:v>2.562666666666665</c:v>
                </c:pt>
                <c:pt idx="3">
                  <c:v>4.09933333333333</c:v>
                </c:pt>
                <c:pt idx="4">
                  <c:v>6.1726666666666645</c:v>
                </c:pt>
                <c:pt idx="5">
                  <c:v>6.345999999999998</c:v>
                </c:pt>
                <c:pt idx="6">
                  <c:v>5.279333333333332</c:v>
                </c:pt>
                <c:pt idx="7">
                  <c:v>5.902666666666665</c:v>
                </c:pt>
                <c:pt idx="8">
                  <c:v>6.472666666666665</c:v>
                </c:pt>
                <c:pt idx="9">
                  <c:v>6.739333333333331</c:v>
                </c:pt>
                <c:pt idx="10">
                  <c:v>6.5426666666666655</c:v>
                </c:pt>
                <c:pt idx="11">
                  <c:v>6.135999999999999</c:v>
                </c:pt>
                <c:pt idx="12">
                  <c:v>5.265999999999998</c:v>
                </c:pt>
                <c:pt idx="13">
                  <c:v>3.975999999999999</c:v>
                </c:pt>
                <c:pt idx="14">
                  <c:v>2.355999999999998</c:v>
                </c:pt>
                <c:pt idx="15">
                  <c:v>0.5619999999999994</c:v>
                </c:pt>
                <c:pt idx="16">
                  <c:v>-1.230666666666668</c:v>
                </c:pt>
                <c:pt idx="17">
                  <c:v>-2.65</c:v>
                </c:pt>
                <c:pt idx="18">
                  <c:v>-4.364000000000001</c:v>
                </c:pt>
                <c:pt idx="19">
                  <c:v>-6.387333333333334</c:v>
                </c:pt>
                <c:pt idx="20">
                  <c:v>-7.290666666666668</c:v>
                </c:pt>
                <c:pt idx="21">
                  <c:v>-7.407333333333334</c:v>
                </c:pt>
                <c:pt idx="22">
                  <c:v>-7.114000000000001</c:v>
                </c:pt>
                <c:pt idx="23">
                  <c:v>-6.394000000000002</c:v>
                </c:pt>
                <c:pt idx="24">
                  <c:v>-5.730666666666668</c:v>
                </c:pt>
                <c:pt idx="25">
                  <c:v>-6.160666666666668</c:v>
                </c:pt>
                <c:pt idx="26">
                  <c:v>-5.757333333333335</c:v>
                </c:pt>
                <c:pt idx="27">
                  <c:v>-4.347333333333335</c:v>
                </c:pt>
                <c:pt idx="28">
                  <c:v>-3.0406666666666666</c:v>
                </c:pt>
                <c:pt idx="29">
                  <c:v>-1.8673333333333337</c:v>
                </c:pt>
                <c:pt idx="30">
                  <c:v>-0.4793333333333347</c:v>
                </c:pt>
              </c:numCache>
            </c:numRef>
          </c:yVal>
          <c:smooth val="0"/>
        </c:ser>
        <c:ser>
          <c:idx val="1"/>
          <c:order val="1"/>
          <c:tx>
            <c:v>Courbe quelconque</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FFFF"/>
                </a:solidFill>
              </a:ln>
            </c:spPr>
          </c:marker>
          <c:xVal>
            <c:numRef>
              <c:f>Saisie!$J$17:$J$47</c:f>
              <c:numCache>
                <c:ptCount val="31"/>
                <c:pt idx="0">
                  <c:v>3.490666666666666</c:v>
                </c:pt>
                <c:pt idx="1">
                  <c:v>3.5133333333333354</c:v>
                </c:pt>
                <c:pt idx="2">
                  <c:v>3.0820000000000007</c:v>
                </c:pt>
                <c:pt idx="3">
                  <c:v>2.3633333333333333</c:v>
                </c:pt>
                <c:pt idx="4">
                  <c:v>0.9193333333333342</c:v>
                </c:pt>
                <c:pt idx="5">
                  <c:v>1.2226666666666688</c:v>
                </c:pt>
                <c:pt idx="6">
                  <c:v>2.519333333333332</c:v>
                </c:pt>
                <c:pt idx="7">
                  <c:v>5.049333333333333</c:v>
                </c:pt>
                <c:pt idx="8">
                  <c:v>7.559333333333331</c:v>
                </c:pt>
                <c:pt idx="9">
                  <c:v>11.056000000000001</c:v>
                </c:pt>
                <c:pt idx="10">
                  <c:v>13.766000000000002</c:v>
                </c:pt>
                <c:pt idx="11">
                  <c:v>16.055999999999997</c:v>
                </c:pt>
                <c:pt idx="12">
                  <c:v>19.099333333333334</c:v>
                </c:pt>
                <c:pt idx="13">
                  <c:v>21.896</c:v>
                </c:pt>
                <c:pt idx="14">
                  <c:v>24.138000000000005</c:v>
                </c:pt>
                <c:pt idx="15">
                  <c:v>25.476</c:v>
                </c:pt>
                <c:pt idx="16">
                  <c:v>25.915999999999997</c:v>
                </c:pt>
                <c:pt idx="17">
                  <c:v>25.406</c:v>
                </c:pt>
                <c:pt idx="18">
                  <c:v>23.75933333333333</c:v>
                </c:pt>
                <c:pt idx="19">
                  <c:v>20.136000000000003</c:v>
                </c:pt>
                <c:pt idx="20">
                  <c:v>15.492666666666665</c:v>
                </c:pt>
                <c:pt idx="21">
                  <c:v>12.555999999999997</c:v>
                </c:pt>
                <c:pt idx="22">
                  <c:v>9.856000000000002</c:v>
                </c:pt>
                <c:pt idx="23">
                  <c:v>6.056000000000001</c:v>
                </c:pt>
                <c:pt idx="24">
                  <c:v>3.022666666666666</c:v>
                </c:pt>
                <c:pt idx="25">
                  <c:v>1.979333333333333</c:v>
                </c:pt>
                <c:pt idx="26">
                  <c:v>1.512666666666668</c:v>
                </c:pt>
                <c:pt idx="27">
                  <c:v>2.3226666666666667</c:v>
                </c:pt>
                <c:pt idx="28">
                  <c:v>2.922666666666668</c:v>
                </c:pt>
                <c:pt idx="29">
                  <c:v>3.3826666666666654</c:v>
                </c:pt>
                <c:pt idx="30">
                  <c:v>3.490666666666666</c:v>
                </c:pt>
              </c:numCache>
            </c:numRef>
          </c:xVal>
          <c:yVal>
            <c:numRef>
              <c:f>Saisie!$K$17:$K$47</c:f>
              <c:numCache>
                <c:ptCount val="31"/>
                <c:pt idx="0">
                  <c:v>-0.4793333333333347</c:v>
                </c:pt>
                <c:pt idx="1">
                  <c:v>0.7893333333333317</c:v>
                </c:pt>
                <c:pt idx="2">
                  <c:v>2.562666666666665</c:v>
                </c:pt>
                <c:pt idx="3">
                  <c:v>4.09933333333333</c:v>
                </c:pt>
                <c:pt idx="4">
                  <c:v>6.1726666666666645</c:v>
                </c:pt>
                <c:pt idx="5">
                  <c:v>6.345999999999998</c:v>
                </c:pt>
                <c:pt idx="6">
                  <c:v>5.279333333333332</c:v>
                </c:pt>
                <c:pt idx="7">
                  <c:v>5.902666666666665</c:v>
                </c:pt>
                <c:pt idx="8">
                  <c:v>6.472666666666665</c:v>
                </c:pt>
                <c:pt idx="9">
                  <c:v>6.739333333333331</c:v>
                </c:pt>
                <c:pt idx="10">
                  <c:v>6.5426666666666655</c:v>
                </c:pt>
                <c:pt idx="11">
                  <c:v>6.135999999999999</c:v>
                </c:pt>
                <c:pt idx="12">
                  <c:v>5.265999999999998</c:v>
                </c:pt>
                <c:pt idx="13">
                  <c:v>3.975999999999999</c:v>
                </c:pt>
                <c:pt idx="14">
                  <c:v>2.355999999999998</c:v>
                </c:pt>
                <c:pt idx="15">
                  <c:v>0.5619999999999994</c:v>
                </c:pt>
                <c:pt idx="16">
                  <c:v>-1.230666666666668</c:v>
                </c:pt>
                <c:pt idx="17">
                  <c:v>-2.65</c:v>
                </c:pt>
                <c:pt idx="18">
                  <c:v>-4.364000000000001</c:v>
                </c:pt>
                <c:pt idx="19">
                  <c:v>-6.387333333333334</c:v>
                </c:pt>
                <c:pt idx="20">
                  <c:v>-7.290666666666668</c:v>
                </c:pt>
                <c:pt idx="21">
                  <c:v>-7.407333333333334</c:v>
                </c:pt>
                <c:pt idx="22">
                  <c:v>-7.114000000000001</c:v>
                </c:pt>
                <c:pt idx="23">
                  <c:v>-6.394000000000002</c:v>
                </c:pt>
                <c:pt idx="24">
                  <c:v>-5.730666666666668</c:v>
                </c:pt>
                <c:pt idx="25">
                  <c:v>-6.160666666666668</c:v>
                </c:pt>
                <c:pt idx="26">
                  <c:v>-5.757333333333335</c:v>
                </c:pt>
                <c:pt idx="27">
                  <c:v>-4.347333333333335</c:v>
                </c:pt>
                <c:pt idx="28">
                  <c:v>-3.0406666666666666</c:v>
                </c:pt>
                <c:pt idx="29">
                  <c:v>-1.8673333333333337</c:v>
                </c:pt>
                <c:pt idx="30">
                  <c:v>-0.4793333333333347</c:v>
                </c:pt>
              </c:numCache>
            </c:numRef>
          </c:yVal>
          <c:smooth val="0"/>
        </c:ser>
        <c:ser>
          <c:idx val="3"/>
          <c:order val="2"/>
          <c:tx>
            <c:v>Courbe pour déplacement général</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Pt>
            <c:idx val="30"/>
            <c:spPr>
              <a:ln w="12700">
                <a:solidFill>
                  <a:srgbClr val="FF00FF"/>
                </a:solidFill>
              </a:ln>
            </c:spPr>
            <c:marker>
              <c:symbol val="plus"/>
              <c:size val="15"/>
              <c:spPr>
                <a:noFill/>
                <a:ln>
                  <a:solidFill>
                    <a:srgbClr val="FF00FF"/>
                  </a:solidFill>
                </a:ln>
              </c:spPr>
            </c:marker>
          </c:dPt>
          <c:xVal>
            <c:numRef>
              <c:f>Saisie!$H$17:$H$47</c:f>
              <c:numCache>
                <c:ptCount val="31"/>
                <c:pt idx="0">
                  <c:v>2.824</c:v>
                </c:pt>
                <c:pt idx="1">
                  <c:v>2.8466666666666693</c:v>
                </c:pt>
                <c:pt idx="2">
                  <c:v>2.4153333333333347</c:v>
                </c:pt>
                <c:pt idx="3">
                  <c:v>1.6966666666666672</c:v>
                </c:pt>
                <c:pt idx="4">
                  <c:v>0.25266666666666726</c:v>
                </c:pt>
                <c:pt idx="5">
                  <c:v>0.5560000000000018</c:v>
                </c:pt>
                <c:pt idx="6">
                  <c:v>1.852666666666666</c:v>
                </c:pt>
                <c:pt idx="7">
                  <c:v>4.382666666666667</c:v>
                </c:pt>
                <c:pt idx="8">
                  <c:v>6.892666666666665</c:v>
                </c:pt>
                <c:pt idx="9">
                  <c:v>10.389333333333335</c:v>
                </c:pt>
                <c:pt idx="10">
                  <c:v>13.099333333333336</c:v>
                </c:pt>
                <c:pt idx="11">
                  <c:v>15.389333333333331</c:v>
                </c:pt>
                <c:pt idx="12">
                  <c:v>18.43266666666667</c:v>
                </c:pt>
                <c:pt idx="13">
                  <c:v>21.229333333333336</c:v>
                </c:pt>
                <c:pt idx="14">
                  <c:v>23.47133333333334</c:v>
                </c:pt>
                <c:pt idx="15">
                  <c:v>24.809333333333328</c:v>
                </c:pt>
                <c:pt idx="16">
                  <c:v>25.249333333333325</c:v>
                </c:pt>
                <c:pt idx="17">
                  <c:v>24.739333333333327</c:v>
                </c:pt>
                <c:pt idx="18">
                  <c:v>23.092666666666666</c:v>
                </c:pt>
                <c:pt idx="19">
                  <c:v>19.46933333333334</c:v>
                </c:pt>
                <c:pt idx="20">
                  <c:v>14.825999999999999</c:v>
                </c:pt>
                <c:pt idx="21">
                  <c:v>11.889333333333331</c:v>
                </c:pt>
                <c:pt idx="22">
                  <c:v>9.189333333333336</c:v>
                </c:pt>
                <c:pt idx="23">
                  <c:v>5.389333333333335</c:v>
                </c:pt>
                <c:pt idx="24">
                  <c:v>2.356</c:v>
                </c:pt>
                <c:pt idx="25">
                  <c:v>1.3126666666666669</c:v>
                </c:pt>
                <c:pt idx="26">
                  <c:v>0.8460000000000019</c:v>
                </c:pt>
                <c:pt idx="27">
                  <c:v>1.6560000000000006</c:v>
                </c:pt>
                <c:pt idx="28">
                  <c:v>2.256000000000002</c:v>
                </c:pt>
                <c:pt idx="29">
                  <c:v>2.7159999999999993</c:v>
                </c:pt>
                <c:pt idx="30">
                  <c:v>2.824</c:v>
                </c:pt>
              </c:numCache>
            </c:numRef>
          </c:xVal>
          <c:yVal>
            <c:numRef>
              <c:f>Saisie!$I$17:$I$47</c:f>
              <c:numCache>
                <c:ptCount val="31"/>
                <c:pt idx="0">
                  <c:v>-1.4793333333333347</c:v>
                </c:pt>
                <c:pt idx="1">
                  <c:v>-0.21066666666666745</c:v>
                </c:pt>
                <c:pt idx="2">
                  <c:v>1.5626666666666669</c:v>
                </c:pt>
                <c:pt idx="3">
                  <c:v>3.099333333333332</c:v>
                </c:pt>
                <c:pt idx="4">
                  <c:v>5.172666666666666</c:v>
                </c:pt>
                <c:pt idx="5">
                  <c:v>5.345999999999998</c:v>
                </c:pt>
                <c:pt idx="6">
                  <c:v>4.279333333333332</c:v>
                </c:pt>
                <c:pt idx="7">
                  <c:v>4.902666666666667</c:v>
                </c:pt>
                <c:pt idx="8">
                  <c:v>5.472666666666667</c:v>
                </c:pt>
                <c:pt idx="9">
                  <c:v>5.739333333333333</c:v>
                </c:pt>
                <c:pt idx="10">
                  <c:v>5.542666666666667</c:v>
                </c:pt>
                <c:pt idx="11">
                  <c:v>5.136000000000001</c:v>
                </c:pt>
                <c:pt idx="12">
                  <c:v>4.266</c:v>
                </c:pt>
                <c:pt idx="13">
                  <c:v>2.976000000000001</c:v>
                </c:pt>
                <c:pt idx="14">
                  <c:v>1.3559999999999999</c:v>
                </c:pt>
                <c:pt idx="15">
                  <c:v>-0.4379999999999997</c:v>
                </c:pt>
                <c:pt idx="16">
                  <c:v>-2.230666666666666</c:v>
                </c:pt>
                <c:pt idx="17">
                  <c:v>-3.6499999999999986</c:v>
                </c:pt>
                <c:pt idx="18">
                  <c:v>-5.363999999999999</c:v>
                </c:pt>
                <c:pt idx="19">
                  <c:v>-7.387333333333332</c:v>
                </c:pt>
                <c:pt idx="20">
                  <c:v>-8.290666666666668</c:v>
                </c:pt>
                <c:pt idx="21">
                  <c:v>-8.407333333333332</c:v>
                </c:pt>
                <c:pt idx="22">
                  <c:v>-8.113999999999999</c:v>
                </c:pt>
                <c:pt idx="23">
                  <c:v>-7.394</c:v>
                </c:pt>
                <c:pt idx="24">
                  <c:v>-6.730666666666666</c:v>
                </c:pt>
                <c:pt idx="25">
                  <c:v>-7.160666666666666</c:v>
                </c:pt>
                <c:pt idx="26">
                  <c:v>-6.757333333333333</c:v>
                </c:pt>
                <c:pt idx="27">
                  <c:v>-5.347333333333333</c:v>
                </c:pt>
                <c:pt idx="28">
                  <c:v>-4.040666666666665</c:v>
                </c:pt>
                <c:pt idx="29">
                  <c:v>-2.867333333333333</c:v>
                </c:pt>
                <c:pt idx="30">
                  <c:v>-1.4793333333333347</c:v>
                </c:pt>
              </c:numCache>
            </c:numRef>
          </c:yVal>
          <c:smooth val="0"/>
        </c:ser>
        <c:ser>
          <c:idx val="2"/>
          <c:order val="3"/>
          <c:tx>
            <c:v>DimCarctH</c:v>
          </c:tx>
          <c:extLst>
            <c:ext xmlns:c14="http://schemas.microsoft.com/office/drawing/2007/8/2/chart" uri="{6F2FDCE9-48DA-4B69-8628-5D25D57E5C99}">
              <c14:invertSolidFillFmt>
                <c14:spPr>
                  <a:solidFill>
                    <a:srgbClr val="000000"/>
                  </a:solidFill>
                </c14:spPr>
              </c14:invertSolidFillFmt>
            </c:ext>
          </c:extLst>
          <c:marker>
            <c:symbol val="plus"/>
            <c:size val="25"/>
            <c:spPr>
              <a:noFill/>
              <a:ln>
                <a:solidFill>
                  <a:srgbClr val="FFFF00"/>
                </a:solidFill>
              </a:ln>
            </c:spPr>
          </c:marker>
          <c:xVal>
            <c:numRef>
              <c:f>Saisie!$K$2:$L$2</c:f>
              <c:numCache>
                <c:ptCount val="2"/>
                <c:pt idx="0">
                  <c:v>3.525</c:v>
                </c:pt>
                <c:pt idx="1">
                  <c:v>25.798</c:v>
                </c:pt>
              </c:numCache>
            </c:numRef>
          </c:xVal>
          <c:yVal>
            <c:numRef>
              <c:f>Saisie!$L$4:$M$4</c:f>
              <c:numCache>
                <c:ptCount val="2"/>
                <c:pt idx="0">
                  <c:v>-0.41600000000000037</c:v>
                </c:pt>
                <c:pt idx="1">
                  <c:v>-0.41600000000000037</c:v>
                </c:pt>
              </c:numCache>
            </c:numRef>
          </c:yVal>
          <c:smooth val="0"/>
        </c:ser>
        <c:ser>
          <c:idx val="4"/>
          <c:order val="4"/>
          <c:tx>
            <c:v>DimCaractV</c:v>
          </c:tx>
          <c:spPr>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plus"/>
            <c:size val="20"/>
            <c:spPr>
              <a:noFill/>
              <a:ln>
                <a:solidFill>
                  <a:srgbClr val="FFCC00"/>
                </a:solidFill>
              </a:ln>
            </c:spPr>
          </c:marker>
          <c:xVal>
            <c:numRef>
              <c:f>Saisie!$L$11:$M$11</c:f>
              <c:numCache>
                <c:ptCount val="2"/>
                <c:pt idx="0">
                  <c:v>12.535</c:v>
                </c:pt>
                <c:pt idx="1">
                  <c:v>12.535</c:v>
                </c:pt>
              </c:numCache>
            </c:numRef>
          </c:xVal>
          <c:yVal>
            <c:numRef>
              <c:f>Saisie!$K$9:$L$9</c:f>
              <c:numCache>
                <c:ptCount val="2"/>
                <c:pt idx="0">
                  <c:v>-7.359</c:v>
                </c:pt>
                <c:pt idx="1">
                  <c:v>6.703</c:v>
                </c:pt>
              </c:numCache>
            </c:numRef>
          </c:yVal>
          <c:smooth val="0"/>
        </c:ser>
        <c:axId val="29955428"/>
        <c:axId val="39262597"/>
      </c:scatterChart>
      <c:valAx>
        <c:axId val="29955428"/>
        <c:scaling>
          <c:orientation val="minMax"/>
          <c:max val="30"/>
          <c:min val="0"/>
        </c:scaling>
        <c:axPos val="b"/>
        <c:delete val="0"/>
        <c:numFmt formatCode="General" sourceLinked="1"/>
        <c:majorTickMark val="out"/>
        <c:minorTickMark val="none"/>
        <c:tickLblPos val="nextTo"/>
        <c:crossAx val="39262597"/>
        <c:crosses val="autoZero"/>
        <c:crossBetween val="midCat"/>
        <c:dispUnits/>
      </c:valAx>
      <c:valAx>
        <c:axId val="39262597"/>
        <c:scaling>
          <c:orientation val="minMax"/>
          <c:max val="10"/>
          <c:min val="-10"/>
        </c:scaling>
        <c:axPos val="l"/>
        <c:majorGridlines/>
        <c:delete val="0"/>
        <c:numFmt formatCode="General" sourceLinked="1"/>
        <c:majorTickMark val="out"/>
        <c:minorTickMark val="none"/>
        <c:tickLblPos val="nextTo"/>
        <c:crossAx val="29955428"/>
        <c:crosses val="autoZero"/>
        <c:crossBetween val="midCat"/>
        <c:dispUnits/>
      </c:valAx>
      <c:spPr>
        <a:blipFill>
          <a:blip r:embed="rId1"/>
          <a:srcRect/>
          <a:stretch>
            <a:fillRect/>
          </a:stretch>
        </a:blipFill>
        <a:ln w="12700">
          <a:solidFill>
            <a:srgbClr val="808080"/>
          </a:solidFill>
        </a:ln>
      </c:spPr>
    </c:plotArea>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 Id="rId3" Type="http://schemas.openxmlformats.org/officeDocument/2006/relationships/image" Target="../media/image3.emf" /><Relationship Id="rId4" Type="http://schemas.openxmlformats.org/officeDocument/2006/relationships/image" Target="../media/image5.emf" /><Relationship Id="rId5" Type="http://schemas.openxmlformats.org/officeDocument/2006/relationships/image" Target="../media/image7.emf" /><Relationship Id="rId6" Type="http://schemas.openxmlformats.org/officeDocument/2006/relationships/image" Target="../media/image10.emf" /><Relationship Id="rId7" Type="http://schemas.openxmlformats.org/officeDocument/2006/relationships/image" Target="../media/image12.emf" /><Relationship Id="rId8" Type="http://schemas.openxmlformats.org/officeDocument/2006/relationships/image" Target="../media/image13.emf" /><Relationship Id="rId9" Type="http://schemas.openxmlformats.org/officeDocument/2006/relationships/image" Target="../media/image4.emf" /><Relationship Id="rId10" Type="http://schemas.openxmlformats.org/officeDocument/2006/relationships/image" Target="../media/image8.emf" /><Relationship Id="rId11" Type="http://schemas.openxmlformats.org/officeDocument/2006/relationships/image" Target="../media/image11.emf" /><Relationship Id="rId12" Type="http://schemas.openxmlformats.org/officeDocument/2006/relationships/image" Target="../media/image6.emf" /><Relationship Id="rId13" Type="http://schemas.openxmlformats.org/officeDocument/2006/relationships/image" Target="../media/image9.emf" /><Relationship Id="rId14"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15</xdr:row>
      <xdr:rowOff>123825</xdr:rowOff>
    </xdr:from>
    <xdr:to>
      <xdr:col>15</xdr:col>
      <xdr:colOff>523875</xdr:colOff>
      <xdr:row>50</xdr:row>
      <xdr:rowOff>57150</xdr:rowOff>
    </xdr:to>
    <xdr:graphicFrame>
      <xdr:nvGraphicFramePr>
        <xdr:cNvPr id="1" name="Chart 1"/>
        <xdr:cNvGraphicFramePr/>
      </xdr:nvGraphicFramePr>
      <xdr:xfrm>
        <a:off x="5343525" y="2695575"/>
        <a:ext cx="8134350" cy="5676900"/>
      </xdr:xfrm>
      <a:graphic>
        <a:graphicData uri="http://schemas.openxmlformats.org/drawingml/2006/chart">
          <c:chart xmlns:c="http://schemas.openxmlformats.org/drawingml/2006/chart" r:id="rId1"/>
        </a:graphicData>
      </a:graphic>
    </xdr:graphicFrame>
    <xdr:clientData/>
  </xdr:twoCellAnchor>
  <xdr:twoCellAnchor editAs="oneCell">
    <xdr:from>
      <xdr:col>15</xdr:col>
      <xdr:colOff>752475</xdr:colOff>
      <xdr:row>10</xdr:row>
      <xdr:rowOff>9525</xdr:rowOff>
    </xdr:from>
    <xdr:to>
      <xdr:col>17</xdr:col>
      <xdr:colOff>0</xdr:colOff>
      <xdr:row>10</xdr:row>
      <xdr:rowOff>171450</xdr:rowOff>
    </xdr:to>
    <xdr:pic>
      <xdr:nvPicPr>
        <xdr:cNvPr id="2" name="ScrollBar1"/>
        <xdr:cNvPicPr preferRelativeResize="1">
          <a:picLocks noChangeAspect="1"/>
        </xdr:cNvPicPr>
      </xdr:nvPicPr>
      <xdr:blipFill>
        <a:blip r:embed="rId2"/>
        <a:stretch>
          <a:fillRect/>
        </a:stretch>
      </xdr:blipFill>
      <xdr:spPr>
        <a:xfrm>
          <a:off x="13706475" y="1724025"/>
          <a:ext cx="771525" cy="161925"/>
        </a:xfrm>
        <a:prstGeom prst="rect">
          <a:avLst/>
        </a:prstGeom>
        <a:noFill/>
        <a:ln w="9525" cmpd="sng">
          <a:noFill/>
        </a:ln>
      </xdr:spPr>
    </xdr:pic>
    <xdr:clientData/>
  </xdr:twoCellAnchor>
  <xdr:twoCellAnchor editAs="oneCell">
    <xdr:from>
      <xdr:col>17</xdr:col>
      <xdr:colOff>0</xdr:colOff>
      <xdr:row>12</xdr:row>
      <xdr:rowOff>9525</xdr:rowOff>
    </xdr:from>
    <xdr:to>
      <xdr:col>17</xdr:col>
      <xdr:colOff>752475</xdr:colOff>
      <xdr:row>12</xdr:row>
      <xdr:rowOff>171450</xdr:rowOff>
    </xdr:to>
    <xdr:pic>
      <xdr:nvPicPr>
        <xdr:cNvPr id="3" name="ScrollBar2"/>
        <xdr:cNvPicPr preferRelativeResize="1">
          <a:picLocks noChangeAspect="1"/>
        </xdr:cNvPicPr>
      </xdr:nvPicPr>
      <xdr:blipFill>
        <a:blip r:embed="rId3"/>
        <a:stretch>
          <a:fillRect/>
        </a:stretch>
      </xdr:blipFill>
      <xdr:spPr>
        <a:xfrm>
          <a:off x="14478000" y="2066925"/>
          <a:ext cx="752475" cy="161925"/>
        </a:xfrm>
        <a:prstGeom prst="rect">
          <a:avLst/>
        </a:prstGeom>
        <a:noFill/>
        <a:ln w="9525" cmpd="sng">
          <a:noFill/>
        </a:ln>
      </xdr:spPr>
    </xdr:pic>
    <xdr:clientData/>
  </xdr:twoCellAnchor>
  <xdr:twoCellAnchor editAs="oneCell">
    <xdr:from>
      <xdr:col>2</xdr:col>
      <xdr:colOff>9525</xdr:colOff>
      <xdr:row>12</xdr:row>
      <xdr:rowOff>9525</xdr:rowOff>
    </xdr:from>
    <xdr:to>
      <xdr:col>2</xdr:col>
      <xdr:colOff>1524000</xdr:colOff>
      <xdr:row>12</xdr:row>
      <xdr:rowOff>161925</xdr:rowOff>
    </xdr:to>
    <xdr:pic>
      <xdr:nvPicPr>
        <xdr:cNvPr id="4" name="ScrollBar5"/>
        <xdr:cNvPicPr preferRelativeResize="1">
          <a:picLocks noChangeAspect="1"/>
        </xdr:cNvPicPr>
      </xdr:nvPicPr>
      <xdr:blipFill>
        <a:blip r:embed="rId4"/>
        <a:stretch>
          <a:fillRect/>
        </a:stretch>
      </xdr:blipFill>
      <xdr:spPr>
        <a:xfrm>
          <a:off x="1533525" y="2066925"/>
          <a:ext cx="1514475" cy="152400"/>
        </a:xfrm>
        <a:prstGeom prst="rect">
          <a:avLst/>
        </a:prstGeom>
        <a:noFill/>
        <a:ln w="9525" cmpd="sng">
          <a:noFill/>
        </a:ln>
      </xdr:spPr>
    </xdr:pic>
    <xdr:clientData/>
  </xdr:twoCellAnchor>
  <xdr:twoCellAnchor editAs="oneCell">
    <xdr:from>
      <xdr:col>3</xdr:col>
      <xdr:colOff>9525</xdr:colOff>
      <xdr:row>12</xdr:row>
      <xdr:rowOff>9525</xdr:rowOff>
    </xdr:from>
    <xdr:to>
      <xdr:col>3</xdr:col>
      <xdr:colOff>1514475</xdr:colOff>
      <xdr:row>12</xdr:row>
      <xdr:rowOff>152400</xdr:rowOff>
    </xdr:to>
    <xdr:pic>
      <xdr:nvPicPr>
        <xdr:cNvPr id="5" name="ScrollBar6"/>
        <xdr:cNvPicPr preferRelativeResize="1">
          <a:picLocks noChangeAspect="1"/>
        </xdr:cNvPicPr>
      </xdr:nvPicPr>
      <xdr:blipFill>
        <a:blip r:embed="rId5"/>
        <a:stretch>
          <a:fillRect/>
        </a:stretch>
      </xdr:blipFill>
      <xdr:spPr>
        <a:xfrm>
          <a:off x="3057525" y="2066925"/>
          <a:ext cx="1504950" cy="142875"/>
        </a:xfrm>
        <a:prstGeom prst="rect">
          <a:avLst/>
        </a:prstGeom>
        <a:noFill/>
        <a:ln w="9525" cmpd="sng">
          <a:noFill/>
        </a:ln>
      </xdr:spPr>
    </xdr:pic>
    <xdr:clientData/>
  </xdr:twoCellAnchor>
  <xdr:twoCellAnchor>
    <xdr:from>
      <xdr:col>2</xdr:col>
      <xdr:colOff>9525</xdr:colOff>
      <xdr:row>21</xdr:row>
      <xdr:rowOff>19050</xdr:rowOff>
    </xdr:from>
    <xdr:to>
      <xdr:col>3</xdr:col>
      <xdr:colOff>0</xdr:colOff>
      <xdr:row>26</xdr:row>
      <xdr:rowOff>0</xdr:rowOff>
    </xdr:to>
    <xdr:grpSp>
      <xdr:nvGrpSpPr>
        <xdr:cNvPr id="6" name="Group 90"/>
        <xdr:cNvGrpSpPr>
          <a:grpSpLocks/>
        </xdr:cNvGrpSpPr>
      </xdr:nvGrpSpPr>
      <xdr:grpSpPr>
        <a:xfrm>
          <a:off x="1533525" y="3609975"/>
          <a:ext cx="1514475" cy="790575"/>
          <a:chOff x="161" y="235"/>
          <a:chExt cx="78" cy="87"/>
        </a:xfrm>
        <a:solidFill>
          <a:srgbClr val="FFFFFF"/>
        </a:solidFill>
      </xdr:grpSpPr>
      <xdr:pic>
        <xdr:nvPicPr>
          <xdr:cNvPr id="7" name="ScrollBar3"/>
          <xdr:cNvPicPr preferRelativeResize="1">
            <a:picLocks noChangeAspect="1"/>
          </xdr:cNvPicPr>
        </xdr:nvPicPr>
        <xdr:blipFill>
          <a:blip r:embed="rId6"/>
          <a:stretch>
            <a:fillRect/>
          </a:stretch>
        </xdr:blipFill>
        <xdr:spPr>
          <a:xfrm>
            <a:off x="161" y="235"/>
            <a:ext cx="78" cy="15"/>
          </a:xfrm>
          <a:prstGeom prst="rect">
            <a:avLst/>
          </a:prstGeom>
          <a:noFill/>
          <a:ln w="9525" cmpd="sng">
            <a:noFill/>
          </a:ln>
        </xdr:spPr>
      </xdr:pic>
      <xdr:pic>
        <xdr:nvPicPr>
          <xdr:cNvPr id="8" name="ScrollBar7"/>
          <xdr:cNvPicPr preferRelativeResize="1">
            <a:picLocks noChangeAspect="1"/>
          </xdr:cNvPicPr>
        </xdr:nvPicPr>
        <xdr:blipFill>
          <a:blip r:embed="rId6"/>
          <a:stretch>
            <a:fillRect/>
          </a:stretch>
        </xdr:blipFill>
        <xdr:spPr>
          <a:xfrm>
            <a:off x="161" y="253"/>
            <a:ext cx="78" cy="15"/>
          </a:xfrm>
          <a:prstGeom prst="rect">
            <a:avLst/>
          </a:prstGeom>
          <a:noFill/>
          <a:ln w="9525" cmpd="sng">
            <a:noFill/>
          </a:ln>
        </xdr:spPr>
      </xdr:pic>
      <xdr:pic>
        <xdr:nvPicPr>
          <xdr:cNvPr id="9" name="ScrollBar9"/>
          <xdr:cNvPicPr preferRelativeResize="1">
            <a:picLocks noChangeAspect="1"/>
          </xdr:cNvPicPr>
        </xdr:nvPicPr>
        <xdr:blipFill>
          <a:blip r:embed="rId7"/>
          <a:stretch>
            <a:fillRect/>
          </a:stretch>
        </xdr:blipFill>
        <xdr:spPr>
          <a:xfrm>
            <a:off x="161" y="271"/>
            <a:ext cx="78" cy="15"/>
          </a:xfrm>
          <a:prstGeom prst="rect">
            <a:avLst/>
          </a:prstGeom>
          <a:noFill/>
          <a:ln w="9525" cmpd="sng">
            <a:noFill/>
          </a:ln>
        </xdr:spPr>
      </xdr:pic>
      <xdr:pic>
        <xdr:nvPicPr>
          <xdr:cNvPr id="10" name="ScrollBar11"/>
          <xdr:cNvPicPr preferRelativeResize="1">
            <a:picLocks noChangeAspect="1"/>
          </xdr:cNvPicPr>
        </xdr:nvPicPr>
        <xdr:blipFill>
          <a:blip r:embed="rId6"/>
          <a:stretch>
            <a:fillRect/>
          </a:stretch>
        </xdr:blipFill>
        <xdr:spPr>
          <a:xfrm>
            <a:off x="161" y="289"/>
            <a:ext cx="78" cy="15"/>
          </a:xfrm>
          <a:prstGeom prst="rect">
            <a:avLst/>
          </a:prstGeom>
          <a:noFill/>
          <a:ln w="9525" cmpd="sng">
            <a:noFill/>
          </a:ln>
        </xdr:spPr>
      </xdr:pic>
      <xdr:pic>
        <xdr:nvPicPr>
          <xdr:cNvPr id="11" name="ScrollBar13"/>
          <xdr:cNvPicPr preferRelativeResize="1">
            <a:picLocks noChangeAspect="1"/>
          </xdr:cNvPicPr>
        </xdr:nvPicPr>
        <xdr:blipFill>
          <a:blip r:embed="rId6"/>
          <a:stretch>
            <a:fillRect/>
          </a:stretch>
        </xdr:blipFill>
        <xdr:spPr>
          <a:xfrm>
            <a:off x="161" y="307"/>
            <a:ext cx="78" cy="15"/>
          </a:xfrm>
          <a:prstGeom prst="rect">
            <a:avLst/>
          </a:prstGeom>
          <a:noFill/>
          <a:ln w="9525" cmpd="sng">
            <a:noFill/>
          </a:ln>
        </xdr:spPr>
      </xdr:pic>
    </xdr:grpSp>
    <xdr:clientData/>
  </xdr:twoCellAnchor>
  <xdr:twoCellAnchor>
    <xdr:from>
      <xdr:col>2</xdr:col>
      <xdr:colOff>9525</xdr:colOff>
      <xdr:row>26</xdr:row>
      <xdr:rowOff>19050</xdr:rowOff>
    </xdr:from>
    <xdr:to>
      <xdr:col>3</xdr:col>
      <xdr:colOff>0</xdr:colOff>
      <xdr:row>51</xdr:row>
      <xdr:rowOff>0</xdr:rowOff>
    </xdr:to>
    <xdr:grpSp>
      <xdr:nvGrpSpPr>
        <xdr:cNvPr id="12" name="Group 118"/>
        <xdr:cNvGrpSpPr>
          <a:grpSpLocks/>
        </xdr:cNvGrpSpPr>
      </xdr:nvGrpSpPr>
      <xdr:grpSpPr>
        <a:xfrm>
          <a:off x="1533525" y="4419600"/>
          <a:ext cx="1514475" cy="4067175"/>
          <a:chOff x="161" y="374"/>
          <a:chExt cx="78" cy="423"/>
        </a:xfrm>
        <a:solidFill>
          <a:srgbClr val="FFFFFF"/>
        </a:solidFill>
      </xdr:grpSpPr>
      <xdr:pic>
        <xdr:nvPicPr>
          <xdr:cNvPr id="13" name="ScrollBar15"/>
          <xdr:cNvPicPr preferRelativeResize="1">
            <a:picLocks noChangeAspect="1"/>
          </xdr:cNvPicPr>
        </xdr:nvPicPr>
        <xdr:blipFill>
          <a:blip r:embed="rId7"/>
          <a:stretch>
            <a:fillRect/>
          </a:stretch>
        </xdr:blipFill>
        <xdr:spPr>
          <a:xfrm>
            <a:off x="161" y="374"/>
            <a:ext cx="78" cy="15"/>
          </a:xfrm>
          <a:prstGeom prst="rect">
            <a:avLst/>
          </a:prstGeom>
          <a:noFill/>
          <a:ln w="9525" cmpd="sng">
            <a:noFill/>
          </a:ln>
        </xdr:spPr>
      </xdr:pic>
      <xdr:pic>
        <xdr:nvPicPr>
          <xdr:cNvPr id="14" name="ScrollBar17"/>
          <xdr:cNvPicPr preferRelativeResize="1">
            <a:picLocks noChangeAspect="1"/>
          </xdr:cNvPicPr>
        </xdr:nvPicPr>
        <xdr:blipFill>
          <a:blip r:embed="rId7"/>
          <a:stretch>
            <a:fillRect/>
          </a:stretch>
        </xdr:blipFill>
        <xdr:spPr>
          <a:xfrm>
            <a:off x="161" y="391"/>
            <a:ext cx="78" cy="15"/>
          </a:xfrm>
          <a:prstGeom prst="rect">
            <a:avLst/>
          </a:prstGeom>
          <a:noFill/>
          <a:ln w="9525" cmpd="sng">
            <a:noFill/>
          </a:ln>
        </xdr:spPr>
      </xdr:pic>
      <xdr:pic>
        <xdr:nvPicPr>
          <xdr:cNvPr id="15" name="ScrollBar19"/>
          <xdr:cNvPicPr preferRelativeResize="1">
            <a:picLocks noChangeAspect="1"/>
          </xdr:cNvPicPr>
        </xdr:nvPicPr>
        <xdr:blipFill>
          <a:blip r:embed="rId7"/>
          <a:stretch>
            <a:fillRect/>
          </a:stretch>
        </xdr:blipFill>
        <xdr:spPr>
          <a:xfrm>
            <a:off x="161" y="408"/>
            <a:ext cx="78" cy="15"/>
          </a:xfrm>
          <a:prstGeom prst="rect">
            <a:avLst/>
          </a:prstGeom>
          <a:noFill/>
          <a:ln w="9525" cmpd="sng">
            <a:noFill/>
          </a:ln>
        </xdr:spPr>
      </xdr:pic>
      <xdr:pic>
        <xdr:nvPicPr>
          <xdr:cNvPr id="16" name="ScrollBar21"/>
          <xdr:cNvPicPr preferRelativeResize="1">
            <a:picLocks noChangeAspect="1"/>
          </xdr:cNvPicPr>
        </xdr:nvPicPr>
        <xdr:blipFill>
          <a:blip r:embed="rId7"/>
          <a:stretch>
            <a:fillRect/>
          </a:stretch>
        </xdr:blipFill>
        <xdr:spPr>
          <a:xfrm>
            <a:off x="161" y="425"/>
            <a:ext cx="78" cy="15"/>
          </a:xfrm>
          <a:prstGeom prst="rect">
            <a:avLst/>
          </a:prstGeom>
          <a:noFill/>
          <a:ln w="9525" cmpd="sng">
            <a:noFill/>
          </a:ln>
        </xdr:spPr>
      </xdr:pic>
      <xdr:pic>
        <xdr:nvPicPr>
          <xdr:cNvPr id="17" name="ScrollBar23"/>
          <xdr:cNvPicPr preferRelativeResize="1">
            <a:picLocks noChangeAspect="1"/>
          </xdr:cNvPicPr>
        </xdr:nvPicPr>
        <xdr:blipFill>
          <a:blip r:embed="rId7"/>
          <a:stretch>
            <a:fillRect/>
          </a:stretch>
        </xdr:blipFill>
        <xdr:spPr>
          <a:xfrm>
            <a:off x="161" y="442"/>
            <a:ext cx="78" cy="15"/>
          </a:xfrm>
          <a:prstGeom prst="rect">
            <a:avLst/>
          </a:prstGeom>
          <a:noFill/>
          <a:ln w="9525" cmpd="sng">
            <a:noFill/>
          </a:ln>
        </xdr:spPr>
      </xdr:pic>
      <xdr:pic>
        <xdr:nvPicPr>
          <xdr:cNvPr id="18" name="ScrollBar25"/>
          <xdr:cNvPicPr preferRelativeResize="1">
            <a:picLocks noChangeAspect="1"/>
          </xdr:cNvPicPr>
        </xdr:nvPicPr>
        <xdr:blipFill>
          <a:blip r:embed="rId7"/>
          <a:stretch>
            <a:fillRect/>
          </a:stretch>
        </xdr:blipFill>
        <xdr:spPr>
          <a:xfrm>
            <a:off x="161" y="459"/>
            <a:ext cx="78" cy="15"/>
          </a:xfrm>
          <a:prstGeom prst="rect">
            <a:avLst/>
          </a:prstGeom>
          <a:noFill/>
          <a:ln w="9525" cmpd="sng">
            <a:noFill/>
          </a:ln>
        </xdr:spPr>
      </xdr:pic>
      <xdr:pic>
        <xdr:nvPicPr>
          <xdr:cNvPr id="19" name="ScrollBar27"/>
          <xdr:cNvPicPr preferRelativeResize="1">
            <a:picLocks noChangeAspect="1"/>
          </xdr:cNvPicPr>
        </xdr:nvPicPr>
        <xdr:blipFill>
          <a:blip r:embed="rId7"/>
          <a:stretch>
            <a:fillRect/>
          </a:stretch>
        </xdr:blipFill>
        <xdr:spPr>
          <a:xfrm>
            <a:off x="161" y="476"/>
            <a:ext cx="78" cy="15"/>
          </a:xfrm>
          <a:prstGeom prst="rect">
            <a:avLst/>
          </a:prstGeom>
          <a:noFill/>
          <a:ln w="9525" cmpd="sng">
            <a:noFill/>
          </a:ln>
        </xdr:spPr>
      </xdr:pic>
      <xdr:pic>
        <xdr:nvPicPr>
          <xdr:cNvPr id="20" name="ScrollBar29"/>
          <xdr:cNvPicPr preferRelativeResize="1">
            <a:picLocks noChangeAspect="1"/>
          </xdr:cNvPicPr>
        </xdr:nvPicPr>
        <xdr:blipFill>
          <a:blip r:embed="rId7"/>
          <a:stretch>
            <a:fillRect/>
          </a:stretch>
        </xdr:blipFill>
        <xdr:spPr>
          <a:xfrm>
            <a:off x="161" y="493"/>
            <a:ext cx="78" cy="15"/>
          </a:xfrm>
          <a:prstGeom prst="rect">
            <a:avLst/>
          </a:prstGeom>
          <a:noFill/>
          <a:ln w="9525" cmpd="sng">
            <a:noFill/>
          </a:ln>
        </xdr:spPr>
      </xdr:pic>
      <xdr:pic>
        <xdr:nvPicPr>
          <xdr:cNvPr id="21" name="ScrollBar31"/>
          <xdr:cNvPicPr preferRelativeResize="1">
            <a:picLocks noChangeAspect="1"/>
          </xdr:cNvPicPr>
        </xdr:nvPicPr>
        <xdr:blipFill>
          <a:blip r:embed="rId7"/>
          <a:stretch>
            <a:fillRect/>
          </a:stretch>
        </xdr:blipFill>
        <xdr:spPr>
          <a:xfrm>
            <a:off x="161" y="510"/>
            <a:ext cx="78" cy="15"/>
          </a:xfrm>
          <a:prstGeom prst="rect">
            <a:avLst/>
          </a:prstGeom>
          <a:noFill/>
          <a:ln w="9525" cmpd="sng">
            <a:noFill/>
          </a:ln>
        </xdr:spPr>
      </xdr:pic>
      <xdr:pic>
        <xdr:nvPicPr>
          <xdr:cNvPr id="22" name="ScrollBar33"/>
          <xdr:cNvPicPr preferRelativeResize="1">
            <a:picLocks noChangeAspect="1"/>
          </xdr:cNvPicPr>
        </xdr:nvPicPr>
        <xdr:blipFill>
          <a:blip r:embed="rId7"/>
          <a:stretch>
            <a:fillRect/>
          </a:stretch>
        </xdr:blipFill>
        <xdr:spPr>
          <a:xfrm>
            <a:off x="161" y="527"/>
            <a:ext cx="78" cy="15"/>
          </a:xfrm>
          <a:prstGeom prst="rect">
            <a:avLst/>
          </a:prstGeom>
          <a:noFill/>
          <a:ln w="9525" cmpd="sng">
            <a:noFill/>
          </a:ln>
        </xdr:spPr>
      </xdr:pic>
      <xdr:pic>
        <xdr:nvPicPr>
          <xdr:cNvPr id="23" name="ScrollBar35"/>
          <xdr:cNvPicPr preferRelativeResize="1">
            <a:picLocks noChangeAspect="1"/>
          </xdr:cNvPicPr>
        </xdr:nvPicPr>
        <xdr:blipFill>
          <a:blip r:embed="rId7"/>
          <a:stretch>
            <a:fillRect/>
          </a:stretch>
        </xdr:blipFill>
        <xdr:spPr>
          <a:xfrm>
            <a:off x="161" y="544"/>
            <a:ext cx="78" cy="15"/>
          </a:xfrm>
          <a:prstGeom prst="rect">
            <a:avLst/>
          </a:prstGeom>
          <a:noFill/>
          <a:ln w="9525" cmpd="sng">
            <a:noFill/>
          </a:ln>
        </xdr:spPr>
      </xdr:pic>
      <xdr:pic>
        <xdr:nvPicPr>
          <xdr:cNvPr id="24" name="ScrollBar37"/>
          <xdr:cNvPicPr preferRelativeResize="1">
            <a:picLocks noChangeAspect="1"/>
          </xdr:cNvPicPr>
        </xdr:nvPicPr>
        <xdr:blipFill>
          <a:blip r:embed="rId7"/>
          <a:stretch>
            <a:fillRect/>
          </a:stretch>
        </xdr:blipFill>
        <xdr:spPr>
          <a:xfrm>
            <a:off x="161" y="561"/>
            <a:ext cx="78" cy="15"/>
          </a:xfrm>
          <a:prstGeom prst="rect">
            <a:avLst/>
          </a:prstGeom>
          <a:noFill/>
          <a:ln w="9525" cmpd="sng">
            <a:noFill/>
          </a:ln>
        </xdr:spPr>
      </xdr:pic>
      <xdr:pic>
        <xdr:nvPicPr>
          <xdr:cNvPr id="25" name="ScrollBar39"/>
          <xdr:cNvPicPr preferRelativeResize="1">
            <a:picLocks noChangeAspect="1"/>
          </xdr:cNvPicPr>
        </xdr:nvPicPr>
        <xdr:blipFill>
          <a:blip r:embed="rId7"/>
          <a:stretch>
            <a:fillRect/>
          </a:stretch>
        </xdr:blipFill>
        <xdr:spPr>
          <a:xfrm>
            <a:off x="161" y="578"/>
            <a:ext cx="78" cy="15"/>
          </a:xfrm>
          <a:prstGeom prst="rect">
            <a:avLst/>
          </a:prstGeom>
          <a:noFill/>
          <a:ln w="9525" cmpd="sng">
            <a:noFill/>
          </a:ln>
        </xdr:spPr>
      </xdr:pic>
      <xdr:pic>
        <xdr:nvPicPr>
          <xdr:cNvPr id="26" name="ScrollBar41"/>
          <xdr:cNvPicPr preferRelativeResize="1">
            <a:picLocks noChangeAspect="1"/>
          </xdr:cNvPicPr>
        </xdr:nvPicPr>
        <xdr:blipFill>
          <a:blip r:embed="rId7"/>
          <a:stretch>
            <a:fillRect/>
          </a:stretch>
        </xdr:blipFill>
        <xdr:spPr>
          <a:xfrm>
            <a:off x="161" y="595"/>
            <a:ext cx="78" cy="15"/>
          </a:xfrm>
          <a:prstGeom prst="rect">
            <a:avLst/>
          </a:prstGeom>
          <a:noFill/>
          <a:ln w="9525" cmpd="sng">
            <a:noFill/>
          </a:ln>
        </xdr:spPr>
      </xdr:pic>
      <xdr:pic>
        <xdr:nvPicPr>
          <xdr:cNvPr id="27" name="ScrollBar43"/>
          <xdr:cNvPicPr preferRelativeResize="1">
            <a:picLocks noChangeAspect="1"/>
          </xdr:cNvPicPr>
        </xdr:nvPicPr>
        <xdr:blipFill>
          <a:blip r:embed="rId7"/>
          <a:stretch>
            <a:fillRect/>
          </a:stretch>
        </xdr:blipFill>
        <xdr:spPr>
          <a:xfrm>
            <a:off x="161" y="612"/>
            <a:ext cx="78" cy="15"/>
          </a:xfrm>
          <a:prstGeom prst="rect">
            <a:avLst/>
          </a:prstGeom>
          <a:noFill/>
          <a:ln w="9525" cmpd="sng">
            <a:noFill/>
          </a:ln>
        </xdr:spPr>
      </xdr:pic>
      <xdr:pic>
        <xdr:nvPicPr>
          <xdr:cNvPr id="28" name="ScrollBar45"/>
          <xdr:cNvPicPr preferRelativeResize="1">
            <a:picLocks noChangeAspect="1"/>
          </xdr:cNvPicPr>
        </xdr:nvPicPr>
        <xdr:blipFill>
          <a:blip r:embed="rId7"/>
          <a:stretch>
            <a:fillRect/>
          </a:stretch>
        </xdr:blipFill>
        <xdr:spPr>
          <a:xfrm>
            <a:off x="161" y="629"/>
            <a:ext cx="78" cy="15"/>
          </a:xfrm>
          <a:prstGeom prst="rect">
            <a:avLst/>
          </a:prstGeom>
          <a:noFill/>
          <a:ln w="9525" cmpd="sng">
            <a:noFill/>
          </a:ln>
        </xdr:spPr>
      </xdr:pic>
      <xdr:pic>
        <xdr:nvPicPr>
          <xdr:cNvPr id="29" name="ScrollBar47"/>
          <xdr:cNvPicPr preferRelativeResize="1">
            <a:picLocks noChangeAspect="1"/>
          </xdr:cNvPicPr>
        </xdr:nvPicPr>
        <xdr:blipFill>
          <a:blip r:embed="rId7"/>
          <a:stretch>
            <a:fillRect/>
          </a:stretch>
        </xdr:blipFill>
        <xdr:spPr>
          <a:xfrm>
            <a:off x="161" y="646"/>
            <a:ext cx="78" cy="15"/>
          </a:xfrm>
          <a:prstGeom prst="rect">
            <a:avLst/>
          </a:prstGeom>
          <a:noFill/>
          <a:ln w="9525" cmpd="sng">
            <a:noFill/>
          </a:ln>
        </xdr:spPr>
      </xdr:pic>
      <xdr:pic>
        <xdr:nvPicPr>
          <xdr:cNvPr id="30" name="ScrollBar49"/>
          <xdr:cNvPicPr preferRelativeResize="1">
            <a:picLocks noChangeAspect="1"/>
          </xdr:cNvPicPr>
        </xdr:nvPicPr>
        <xdr:blipFill>
          <a:blip r:embed="rId7"/>
          <a:stretch>
            <a:fillRect/>
          </a:stretch>
        </xdr:blipFill>
        <xdr:spPr>
          <a:xfrm>
            <a:off x="161" y="663"/>
            <a:ext cx="78" cy="15"/>
          </a:xfrm>
          <a:prstGeom prst="rect">
            <a:avLst/>
          </a:prstGeom>
          <a:noFill/>
          <a:ln w="9525" cmpd="sng">
            <a:noFill/>
          </a:ln>
        </xdr:spPr>
      </xdr:pic>
      <xdr:pic>
        <xdr:nvPicPr>
          <xdr:cNvPr id="31" name="ScrollBar51"/>
          <xdr:cNvPicPr preferRelativeResize="1">
            <a:picLocks noChangeAspect="1"/>
          </xdr:cNvPicPr>
        </xdr:nvPicPr>
        <xdr:blipFill>
          <a:blip r:embed="rId7"/>
          <a:stretch>
            <a:fillRect/>
          </a:stretch>
        </xdr:blipFill>
        <xdr:spPr>
          <a:xfrm>
            <a:off x="161" y="680"/>
            <a:ext cx="78" cy="15"/>
          </a:xfrm>
          <a:prstGeom prst="rect">
            <a:avLst/>
          </a:prstGeom>
          <a:noFill/>
          <a:ln w="9525" cmpd="sng">
            <a:noFill/>
          </a:ln>
        </xdr:spPr>
      </xdr:pic>
      <xdr:pic>
        <xdr:nvPicPr>
          <xdr:cNvPr id="32" name="ScrollBar53"/>
          <xdr:cNvPicPr preferRelativeResize="1">
            <a:picLocks noChangeAspect="1"/>
          </xdr:cNvPicPr>
        </xdr:nvPicPr>
        <xdr:blipFill>
          <a:blip r:embed="rId7"/>
          <a:stretch>
            <a:fillRect/>
          </a:stretch>
        </xdr:blipFill>
        <xdr:spPr>
          <a:xfrm>
            <a:off x="161" y="697"/>
            <a:ext cx="78" cy="15"/>
          </a:xfrm>
          <a:prstGeom prst="rect">
            <a:avLst/>
          </a:prstGeom>
          <a:noFill/>
          <a:ln w="9525" cmpd="sng">
            <a:noFill/>
          </a:ln>
        </xdr:spPr>
      </xdr:pic>
      <xdr:pic>
        <xdr:nvPicPr>
          <xdr:cNvPr id="33" name="ScrollBar55"/>
          <xdr:cNvPicPr preferRelativeResize="1">
            <a:picLocks noChangeAspect="1"/>
          </xdr:cNvPicPr>
        </xdr:nvPicPr>
        <xdr:blipFill>
          <a:blip r:embed="rId7"/>
          <a:stretch>
            <a:fillRect/>
          </a:stretch>
        </xdr:blipFill>
        <xdr:spPr>
          <a:xfrm>
            <a:off x="161" y="714"/>
            <a:ext cx="78" cy="15"/>
          </a:xfrm>
          <a:prstGeom prst="rect">
            <a:avLst/>
          </a:prstGeom>
          <a:noFill/>
          <a:ln w="9525" cmpd="sng">
            <a:noFill/>
          </a:ln>
        </xdr:spPr>
      </xdr:pic>
      <xdr:pic>
        <xdr:nvPicPr>
          <xdr:cNvPr id="34" name="ScrollBar57"/>
          <xdr:cNvPicPr preferRelativeResize="1">
            <a:picLocks noChangeAspect="1"/>
          </xdr:cNvPicPr>
        </xdr:nvPicPr>
        <xdr:blipFill>
          <a:blip r:embed="rId7"/>
          <a:stretch>
            <a:fillRect/>
          </a:stretch>
        </xdr:blipFill>
        <xdr:spPr>
          <a:xfrm>
            <a:off x="161" y="731"/>
            <a:ext cx="78" cy="15"/>
          </a:xfrm>
          <a:prstGeom prst="rect">
            <a:avLst/>
          </a:prstGeom>
          <a:noFill/>
          <a:ln w="9525" cmpd="sng">
            <a:noFill/>
          </a:ln>
        </xdr:spPr>
      </xdr:pic>
      <xdr:pic>
        <xdr:nvPicPr>
          <xdr:cNvPr id="35" name="ScrollBar59"/>
          <xdr:cNvPicPr preferRelativeResize="1">
            <a:picLocks noChangeAspect="1"/>
          </xdr:cNvPicPr>
        </xdr:nvPicPr>
        <xdr:blipFill>
          <a:blip r:embed="rId7"/>
          <a:stretch>
            <a:fillRect/>
          </a:stretch>
        </xdr:blipFill>
        <xdr:spPr>
          <a:xfrm>
            <a:off x="161" y="748"/>
            <a:ext cx="78" cy="15"/>
          </a:xfrm>
          <a:prstGeom prst="rect">
            <a:avLst/>
          </a:prstGeom>
          <a:noFill/>
          <a:ln w="9525" cmpd="sng">
            <a:noFill/>
          </a:ln>
        </xdr:spPr>
      </xdr:pic>
      <xdr:pic>
        <xdr:nvPicPr>
          <xdr:cNvPr id="36" name="ScrollBar61"/>
          <xdr:cNvPicPr preferRelativeResize="1">
            <a:picLocks noChangeAspect="1"/>
          </xdr:cNvPicPr>
        </xdr:nvPicPr>
        <xdr:blipFill>
          <a:blip r:embed="rId7"/>
          <a:stretch>
            <a:fillRect/>
          </a:stretch>
        </xdr:blipFill>
        <xdr:spPr>
          <a:xfrm>
            <a:off x="161" y="765"/>
            <a:ext cx="78" cy="15"/>
          </a:xfrm>
          <a:prstGeom prst="rect">
            <a:avLst/>
          </a:prstGeom>
          <a:noFill/>
          <a:ln w="9525" cmpd="sng">
            <a:noFill/>
          </a:ln>
        </xdr:spPr>
      </xdr:pic>
      <xdr:pic>
        <xdr:nvPicPr>
          <xdr:cNvPr id="37" name="ScrollBar63"/>
          <xdr:cNvPicPr preferRelativeResize="1">
            <a:picLocks noChangeAspect="1"/>
          </xdr:cNvPicPr>
        </xdr:nvPicPr>
        <xdr:blipFill>
          <a:blip r:embed="rId7"/>
          <a:stretch>
            <a:fillRect/>
          </a:stretch>
        </xdr:blipFill>
        <xdr:spPr>
          <a:xfrm>
            <a:off x="161" y="782"/>
            <a:ext cx="78" cy="15"/>
          </a:xfrm>
          <a:prstGeom prst="rect">
            <a:avLst/>
          </a:prstGeom>
          <a:noFill/>
          <a:ln w="9525" cmpd="sng">
            <a:noFill/>
          </a:ln>
        </xdr:spPr>
      </xdr:pic>
    </xdr:grpSp>
    <xdr:clientData/>
  </xdr:twoCellAnchor>
  <xdr:twoCellAnchor>
    <xdr:from>
      <xdr:col>3</xdr:col>
      <xdr:colOff>19050</xdr:colOff>
      <xdr:row>21</xdr:row>
      <xdr:rowOff>9525</xdr:rowOff>
    </xdr:from>
    <xdr:to>
      <xdr:col>3</xdr:col>
      <xdr:colOff>1514475</xdr:colOff>
      <xdr:row>51</xdr:row>
      <xdr:rowOff>0</xdr:rowOff>
    </xdr:to>
    <xdr:grpSp>
      <xdr:nvGrpSpPr>
        <xdr:cNvPr id="38" name="Group 119"/>
        <xdr:cNvGrpSpPr>
          <a:grpSpLocks/>
        </xdr:cNvGrpSpPr>
      </xdr:nvGrpSpPr>
      <xdr:grpSpPr>
        <a:xfrm>
          <a:off x="3067050" y="3600450"/>
          <a:ext cx="1495425" cy="4886325"/>
          <a:chOff x="322" y="288"/>
          <a:chExt cx="78" cy="509"/>
        </a:xfrm>
        <a:solidFill>
          <a:srgbClr val="FFFFFF"/>
        </a:solidFill>
      </xdr:grpSpPr>
      <xdr:pic>
        <xdr:nvPicPr>
          <xdr:cNvPr id="39" name="ScrollBar4"/>
          <xdr:cNvPicPr preferRelativeResize="1">
            <a:picLocks noChangeAspect="1"/>
          </xdr:cNvPicPr>
        </xdr:nvPicPr>
        <xdr:blipFill>
          <a:blip r:embed="rId8"/>
          <a:stretch>
            <a:fillRect/>
          </a:stretch>
        </xdr:blipFill>
        <xdr:spPr>
          <a:xfrm>
            <a:off x="322" y="288"/>
            <a:ext cx="78" cy="16"/>
          </a:xfrm>
          <a:prstGeom prst="rect">
            <a:avLst/>
          </a:prstGeom>
          <a:noFill/>
          <a:ln w="9525" cmpd="sng">
            <a:noFill/>
          </a:ln>
        </xdr:spPr>
      </xdr:pic>
      <xdr:pic>
        <xdr:nvPicPr>
          <xdr:cNvPr id="40" name="ScrollBar8"/>
          <xdr:cNvPicPr preferRelativeResize="1">
            <a:picLocks noChangeAspect="1"/>
          </xdr:cNvPicPr>
        </xdr:nvPicPr>
        <xdr:blipFill>
          <a:blip r:embed="rId8"/>
          <a:stretch>
            <a:fillRect/>
          </a:stretch>
        </xdr:blipFill>
        <xdr:spPr>
          <a:xfrm>
            <a:off x="322" y="305"/>
            <a:ext cx="78" cy="16"/>
          </a:xfrm>
          <a:prstGeom prst="rect">
            <a:avLst/>
          </a:prstGeom>
          <a:noFill/>
          <a:ln w="9525" cmpd="sng">
            <a:noFill/>
          </a:ln>
        </xdr:spPr>
      </xdr:pic>
      <xdr:pic>
        <xdr:nvPicPr>
          <xdr:cNvPr id="41" name="ScrollBar10"/>
          <xdr:cNvPicPr preferRelativeResize="1">
            <a:picLocks noChangeAspect="1"/>
          </xdr:cNvPicPr>
        </xdr:nvPicPr>
        <xdr:blipFill>
          <a:blip r:embed="rId8"/>
          <a:stretch>
            <a:fillRect/>
          </a:stretch>
        </xdr:blipFill>
        <xdr:spPr>
          <a:xfrm>
            <a:off x="322" y="322"/>
            <a:ext cx="78" cy="16"/>
          </a:xfrm>
          <a:prstGeom prst="rect">
            <a:avLst/>
          </a:prstGeom>
          <a:noFill/>
          <a:ln w="9525" cmpd="sng">
            <a:noFill/>
          </a:ln>
        </xdr:spPr>
      </xdr:pic>
      <xdr:pic>
        <xdr:nvPicPr>
          <xdr:cNvPr id="42" name="ScrollBar12"/>
          <xdr:cNvPicPr preferRelativeResize="1">
            <a:picLocks noChangeAspect="1"/>
          </xdr:cNvPicPr>
        </xdr:nvPicPr>
        <xdr:blipFill>
          <a:blip r:embed="rId8"/>
          <a:stretch>
            <a:fillRect/>
          </a:stretch>
        </xdr:blipFill>
        <xdr:spPr>
          <a:xfrm>
            <a:off x="322" y="339"/>
            <a:ext cx="78" cy="16"/>
          </a:xfrm>
          <a:prstGeom prst="rect">
            <a:avLst/>
          </a:prstGeom>
          <a:noFill/>
          <a:ln w="9525" cmpd="sng">
            <a:noFill/>
          </a:ln>
        </xdr:spPr>
      </xdr:pic>
      <xdr:pic>
        <xdr:nvPicPr>
          <xdr:cNvPr id="43" name="ScrollBar14"/>
          <xdr:cNvPicPr preferRelativeResize="1">
            <a:picLocks noChangeAspect="1"/>
          </xdr:cNvPicPr>
        </xdr:nvPicPr>
        <xdr:blipFill>
          <a:blip r:embed="rId8"/>
          <a:stretch>
            <a:fillRect/>
          </a:stretch>
        </xdr:blipFill>
        <xdr:spPr>
          <a:xfrm>
            <a:off x="322" y="356"/>
            <a:ext cx="78" cy="16"/>
          </a:xfrm>
          <a:prstGeom prst="rect">
            <a:avLst/>
          </a:prstGeom>
          <a:noFill/>
          <a:ln w="9525" cmpd="sng">
            <a:noFill/>
          </a:ln>
        </xdr:spPr>
      </xdr:pic>
      <xdr:pic>
        <xdr:nvPicPr>
          <xdr:cNvPr id="44" name="ScrollBar16"/>
          <xdr:cNvPicPr preferRelativeResize="1">
            <a:picLocks noChangeAspect="1"/>
          </xdr:cNvPicPr>
        </xdr:nvPicPr>
        <xdr:blipFill>
          <a:blip r:embed="rId8"/>
          <a:stretch>
            <a:fillRect/>
          </a:stretch>
        </xdr:blipFill>
        <xdr:spPr>
          <a:xfrm>
            <a:off x="322" y="373"/>
            <a:ext cx="78" cy="16"/>
          </a:xfrm>
          <a:prstGeom prst="rect">
            <a:avLst/>
          </a:prstGeom>
          <a:noFill/>
          <a:ln w="9525" cmpd="sng">
            <a:noFill/>
          </a:ln>
        </xdr:spPr>
      </xdr:pic>
      <xdr:pic>
        <xdr:nvPicPr>
          <xdr:cNvPr id="45" name="ScrollBar18"/>
          <xdr:cNvPicPr preferRelativeResize="1">
            <a:picLocks noChangeAspect="1"/>
          </xdr:cNvPicPr>
        </xdr:nvPicPr>
        <xdr:blipFill>
          <a:blip r:embed="rId8"/>
          <a:stretch>
            <a:fillRect/>
          </a:stretch>
        </xdr:blipFill>
        <xdr:spPr>
          <a:xfrm>
            <a:off x="322" y="390"/>
            <a:ext cx="78" cy="16"/>
          </a:xfrm>
          <a:prstGeom prst="rect">
            <a:avLst/>
          </a:prstGeom>
          <a:noFill/>
          <a:ln w="9525" cmpd="sng">
            <a:noFill/>
          </a:ln>
        </xdr:spPr>
      </xdr:pic>
      <xdr:pic>
        <xdr:nvPicPr>
          <xdr:cNvPr id="46" name="ScrollBar20"/>
          <xdr:cNvPicPr preferRelativeResize="1">
            <a:picLocks noChangeAspect="1"/>
          </xdr:cNvPicPr>
        </xdr:nvPicPr>
        <xdr:blipFill>
          <a:blip r:embed="rId8"/>
          <a:stretch>
            <a:fillRect/>
          </a:stretch>
        </xdr:blipFill>
        <xdr:spPr>
          <a:xfrm>
            <a:off x="322" y="407"/>
            <a:ext cx="78" cy="16"/>
          </a:xfrm>
          <a:prstGeom prst="rect">
            <a:avLst/>
          </a:prstGeom>
          <a:noFill/>
          <a:ln w="9525" cmpd="sng">
            <a:noFill/>
          </a:ln>
        </xdr:spPr>
      </xdr:pic>
      <xdr:pic>
        <xdr:nvPicPr>
          <xdr:cNvPr id="47" name="ScrollBar22"/>
          <xdr:cNvPicPr preferRelativeResize="1">
            <a:picLocks noChangeAspect="1"/>
          </xdr:cNvPicPr>
        </xdr:nvPicPr>
        <xdr:blipFill>
          <a:blip r:embed="rId8"/>
          <a:stretch>
            <a:fillRect/>
          </a:stretch>
        </xdr:blipFill>
        <xdr:spPr>
          <a:xfrm>
            <a:off x="322" y="424"/>
            <a:ext cx="78" cy="16"/>
          </a:xfrm>
          <a:prstGeom prst="rect">
            <a:avLst/>
          </a:prstGeom>
          <a:noFill/>
          <a:ln w="9525" cmpd="sng">
            <a:noFill/>
          </a:ln>
        </xdr:spPr>
      </xdr:pic>
      <xdr:pic>
        <xdr:nvPicPr>
          <xdr:cNvPr id="48" name="ScrollBar24"/>
          <xdr:cNvPicPr preferRelativeResize="1">
            <a:picLocks noChangeAspect="1"/>
          </xdr:cNvPicPr>
        </xdr:nvPicPr>
        <xdr:blipFill>
          <a:blip r:embed="rId8"/>
          <a:stretch>
            <a:fillRect/>
          </a:stretch>
        </xdr:blipFill>
        <xdr:spPr>
          <a:xfrm>
            <a:off x="322" y="441"/>
            <a:ext cx="78" cy="16"/>
          </a:xfrm>
          <a:prstGeom prst="rect">
            <a:avLst/>
          </a:prstGeom>
          <a:noFill/>
          <a:ln w="9525" cmpd="sng">
            <a:noFill/>
          </a:ln>
        </xdr:spPr>
      </xdr:pic>
      <xdr:pic>
        <xdr:nvPicPr>
          <xdr:cNvPr id="49" name="ScrollBar26"/>
          <xdr:cNvPicPr preferRelativeResize="1">
            <a:picLocks noChangeAspect="1"/>
          </xdr:cNvPicPr>
        </xdr:nvPicPr>
        <xdr:blipFill>
          <a:blip r:embed="rId8"/>
          <a:stretch>
            <a:fillRect/>
          </a:stretch>
        </xdr:blipFill>
        <xdr:spPr>
          <a:xfrm>
            <a:off x="322" y="458"/>
            <a:ext cx="78" cy="16"/>
          </a:xfrm>
          <a:prstGeom prst="rect">
            <a:avLst/>
          </a:prstGeom>
          <a:noFill/>
          <a:ln w="9525" cmpd="sng">
            <a:noFill/>
          </a:ln>
        </xdr:spPr>
      </xdr:pic>
      <xdr:pic>
        <xdr:nvPicPr>
          <xdr:cNvPr id="50" name="ScrollBar28"/>
          <xdr:cNvPicPr preferRelativeResize="1">
            <a:picLocks noChangeAspect="1"/>
          </xdr:cNvPicPr>
        </xdr:nvPicPr>
        <xdr:blipFill>
          <a:blip r:embed="rId8"/>
          <a:stretch>
            <a:fillRect/>
          </a:stretch>
        </xdr:blipFill>
        <xdr:spPr>
          <a:xfrm>
            <a:off x="322" y="475"/>
            <a:ext cx="78" cy="16"/>
          </a:xfrm>
          <a:prstGeom prst="rect">
            <a:avLst/>
          </a:prstGeom>
          <a:noFill/>
          <a:ln w="9525" cmpd="sng">
            <a:noFill/>
          </a:ln>
        </xdr:spPr>
      </xdr:pic>
      <xdr:pic>
        <xdr:nvPicPr>
          <xdr:cNvPr id="51" name="ScrollBar30"/>
          <xdr:cNvPicPr preferRelativeResize="1">
            <a:picLocks noChangeAspect="1"/>
          </xdr:cNvPicPr>
        </xdr:nvPicPr>
        <xdr:blipFill>
          <a:blip r:embed="rId8"/>
          <a:stretch>
            <a:fillRect/>
          </a:stretch>
        </xdr:blipFill>
        <xdr:spPr>
          <a:xfrm>
            <a:off x="322" y="492"/>
            <a:ext cx="78" cy="16"/>
          </a:xfrm>
          <a:prstGeom prst="rect">
            <a:avLst/>
          </a:prstGeom>
          <a:noFill/>
          <a:ln w="9525" cmpd="sng">
            <a:noFill/>
          </a:ln>
        </xdr:spPr>
      </xdr:pic>
      <xdr:pic>
        <xdr:nvPicPr>
          <xdr:cNvPr id="52" name="ScrollBar32"/>
          <xdr:cNvPicPr preferRelativeResize="1">
            <a:picLocks noChangeAspect="1"/>
          </xdr:cNvPicPr>
        </xdr:nvPicPr>
        <xdr:blipFill>
          <a:blip r:embed="rId8"/>
          <a:stretch>
            <a:fillRect/>
          </a:stretch>
        </xdr:blipFill>
        <xdr:spPr>
          <a:xfrm>
            <a:off x="322" y="509"/>
            <a:ext cx="78" cy="16"/>
          </a:xfrm>
          <a:prstGeom prst="rect">
            <a:avLst/>
          </a:prstGeom>
          <a:noFill/>
          <a:ln w="9525" cmpd="sng">
            <a:noFill/>
          </a:ln>
        </xdr:spPr>
      </xdr:pic>
      <xdr:pic>
        <xdr:nvPicPr>
          <xdr:cNvPr id="53" name="ScrollBar34"/>
          <xdr:cNvPicPr preferRelativeResize="1">
            <a:picLocks noChangeAspect="1"/>
          </xdr:cNvPicPr>
        </xdr:nvPicPr>
        <xdr:blipFill>
          <a:blip r:embed="rId8"/>
          <a:stretch>
            <a:fillRect/>
          </a:stretch>
        </xdr:blipFill>
        <xdr:spPr>
          <a:xfrm>
            <a:off x="322" y="526"/>
            <a:ext cx="78" cy="16"/>
          </a:xfrm>
          <a:prstGeom prst="rect">
            <a:avLst/>
          </a:prstGeom>
          <a:noFill/>
          <a:ln w="9525" cmpd="sng">
            <a:noFill/>
          </a:ln>
        </xdr:spPr>
      </xdr:pic>
      <xdr:pic>
        <xdr:nvPicPr>
          <xdr:cNvPr id="54" name="ScrollBar36"/>
          <xdr:cNvPicPr preferRelativeResize="1">
            <a:picLocks noChangeAspect="1"/>
          </xdr:cNvPicPr>
        </xdr:nvPicPr>
        <xdr:blipFill>
          <a:blip r:embed="rId8"/>
          <a:stretch>
            <a:fillRect/>
          </a:stretch>
        </xdr:blipFill>
        <xdr:spPr>
          <a:xfrm>
            <a:off x="322" y="543"/>
            <a:ext cx="78" cy="16"/>
          </a:xfrm>
          <a:prstGeom prst="rect">
            <a:avLst/>
          </a:prstGeom>
          <a:noFill/>
          <a:ln w="9525" cmpd="sng">
            <a:noFill/>
          </a:ln>
        </xdr:spPr>
      </xdr:pic>
      <xdr:pic>
        <xdr:nvPicPr>
          <xdr:cNvPr id="55" name="ScrollBar38"/>
          <xdr:cNvPicPr preferRelativeResize="1">
            <a:picLocks noChangeAspect="1"/>
          </xdr:cNvPicPr>
        </xdr:nvPicPr>
        <xdr:blipFill>
          <a:blip r:embed="rId8"/>
          <a:stretch>
            <a:fillRect/>
          </a:stretch>
        </xdr:blipFill>
        <xdr:spPr>
          <a:xfrm>
            <a:off x="322" y="560"/>
            <a:ext cx="78" cy="16"/>
          </a:xfrm>
          <a:prstGeom prst="rect">
            <a:avLst/>
          </a:prstGeom>
          <a:noFill/>
          <a:ln w="9525" cmpd="sng">
            <a:noFill/>
          </a:ln>
        </xdr:spPr>
      </xdr:pic>
      <xdr:pic>
        <xdr:nvPicPr>
          <xdr:cNvPr id="56" name="ScrollBar40"/>
          <xdr:cNvPicPr preferRelativeResize="1">
            <a:picLocks noChangeAspect="1"/>
          </xdr:cNvPicPr>
        </xdr:nvPicPr>
        <xdr:blipFill>
          <a:blip r:embed="rId8"/>
          <a:stretch>
            <a:fillRect/>
          </a:stretch>
        </xdr:blipFill>
        <xdr:spPr>
          <a:xfrm>
            <a:off x="322" y="577"/>
            <a:ext cx="78" cy="16"/>
          </a:xfrm>
          <a:prstGeom prst="rect">
            <a:avLst/>
          </a:prstGeom>
          <a:noFill/>
          <a:ln w="9525" cmpd="sng">
            <a:noFill/>
          </a:ln>
        </xdr:spPr>
      </xdr:pic>
      <xdr:pic>
        <xdr:nvPicPr>
          <xdr:cNvPr id="57" name="ScrollBar42"/>
          <xdr:cNvPicPr preferRelativeResize="1">
            <a:picLocks noChangeAspect="1"/>
          </xdr:cNvPicPr>
        </xdr:nvPicPr>
        <xdr:blipFill>
          <a:blip r:embed="rId8"/>
          <a:stretch>
            <a:fillRect/>
          </a:stretch>
        </xdr:blipFill>
        <xdr:spPr>
          <a:xfrm>
            <a:off x="322" y="594"/>
            <a:ext cx="78" cy="16"/>
          </a:xfrm>
          <a:prstGeom prst="rect">
            <a:avLst/>
          </a:prstGeom>
          <a:noFill/>
          <a:ln w="9525" cmpd="sng">
            <a:noFill/>
          </a:ln>
        </xdr:spPr>
      </xdr:pic>
      <xdr:pic>
        <xdr:nvPicPr>
          <xdr:cNvPr id="58" name="ScrollBar44"/>
          <xdr:cNvPicPr preferRelativeResize="1">
            <a:picLocks noChangeAspect="1"/>
          </xdr:cNvPicPr>
        </xdr:nvPicPr>
        <xdr:blipFill>
          <a:blip r:embed="rId8"/>
          <a:stretch>
            <a:fillRect/>
          </a:stretch>
        </xdr:blipFill>
        <xdr:spPr>
          <a:xfrm>
            <a:off x="322" y="611"/>
            <a:ext cx="78" cy="16"/>
          </a:xfrm>
          <a:prstGeom prst="rect">
            <a:avLst/>
          </a:prstGeom>
          <a:noFill/>
          <a:ln w="9525" cmpd="sng">
            <a:noFill/>
          </a:ln>
        </xdr:spPr>
      </xdr:pic>
      <xdr:pic>
        <xdr:nvPicPr>
          <xdr:cNvPr id="59" name="ScrollBar46"/>
          <xdr:cNvPicPr preferRelativeResize="1">
            <a:picLocks noChangeAspect="1"/>
          </xdr:cNvPicPr>
        </xdr:nvPicPr>
        <xdr:blipFill>
          <a:blip r:embed="rId8"/>
          <a:stretch>
            <a:fillRect/>
          </a:stretch>
        </xdr:blipFill>
        <xdr:spPr>
          <a:xfrm>
            <a:off x="322" y="628"/>
            <a:ext cx="78" cy="16"/>
          </a:xfrm>
          <a:prstGeom prst="rect">
            <a:avLst/>
          </a:prstGeom>
          <a:noFill/>
          <a:ln w="9525" cmpd="sng">
            <a:noFill/>
          </a:ln>
        </xdr:spPr>
      </xdr:pic>
      <xdr:pic>
        <xdr:nvPicPr>
          <xdr:cNvPr id="60" name="ScrollBar48"/>
          <xdr:cNvPicPr preferRelativeResize="1">
            <a:picLocks noChangeAspect="1"/>
          </xdr:cNvPicPr>
        </xdr:nvPicPr>
        <xdr:blipFill>
          <a:blip r:embed="rId8"/>
          <a:stretch>
            <a:fillRect/>
          </a:stretch>
        </xdr:blipFill>
        <xdr:spPr>
          <a:xfrm>
            <a:off x="322" y="645"/>
            <a:ext cx="78" cy="16"/>
          </a:xfrm>
          <a:prstGeom prst="rect">
            <a:avLst/>
          </a:prstGeom>
          <a:noFill/>
          <a:ln w="9525" cmpd="sng">
            <a:noFill/>
          </a:ln>
        </xdr:spPr>
      </xdr:pic>
      <xdr:pic>
        <xdr:nvPicPr>
          <xdr:cNvPr id="61" name="ScrollBar50"/>
          <xdr:cNvPicPr preferRelativeResize="1">
            <a:picLocks noChangeAspect="1"/>
          </xdr:cNvPicPr>
        </xdr:nvPicPr>
        <xdr:blipFill>
          <a:blip r:embed="rId8"/>
          <a:stretch>
            <a:fillRect/>
          </a:stretch>
        </xdr:blipFill>
        <xdr:spPr>
          <a:xfrm>
            <a:off x="322" y="662"/>
            <a:ext cx="78" cy="16"/>
          </a:xfrm>
          <a:prstGeom prst="rect">
            <a:avLst/>
          </a:prstGeom>
          <a:noFill/>
          <a:ln w="9525" cmpd="sng">
            <a:noFill/>
          </a:ln>
        </xdr:spPr>
      </xdr:pic>
      <xdr:pic>
        <xdr:nvPicPr>
          <xdr:cNvPr id="62" name="ScrollBar52"/>
          <xdr:cNvPicPr preferRelativeResize="1">
            <a:picLocks noChangeAspect="1"/>
          </xdr:cNvPicPr>
        </xdr:nvPicPr>
        <xdr:blipFill>
          <a:blip r:embed="rId8"/>
          <a:stretch>
            <a:fillRect/>
          </a:stretch>
        </xdr:blipFill>
        <xdr:spPr>
          <a:xfrm>
            <a:off x="322" y="679"/>
            <a:ext cx="78" cy="16"/>
          </a:xfrm>
          <a:prstGeom prst="rect">
            <a:avLst/>
          </a:prstGeom>
          <a:noFill/>
          <a:ln w="9525" cmpd="sng">
            <a:noFill/>
          </a:ln>
        </xdr:spPr>
      </xdr:pic>
      <xdr:pic>
        <xdr:nvPicPr>
          <xdr:cNvPr id="63" name="ScrollBar54"/>
          <xdr:cNvPicPr preferRelativeResize="1">
            <a:picLocks noChangeAspect="1"/>
          </xdr:cNvPicPr>
        </xdr:nvPicPr>
        <xdr:blipFill>
          <a:blip r:embed="rId8"/>
          <a:stretch>
            <a:fillRect/>
          </a:stretch>
        </xdr:blipFill>
        <xdr:spPr>
          <a:xfrm>
            <a:off x="322" y="696"/>
            <a:ext cx="78" cy="16"/>
          </a:xfrm>
          <a:prstGeom prst="rect">
            <a:avLst/>
          </a:prstGeom>
          <a:noFill/>
          <a:ln w="9525" cmpd="sng">
            <a:noFill/>
          </a:ln>
        </xdr:spPr>
      </xdr:pic>
      <xdr:pic>
        <xdr:nvPicPr>
          <xdr:cNvPr id="64" name="ScrollBar56"/>
          <xdr:cNvPicPr preferRelativeResize="1">
            <a:picLocks noChangeAspect="1"/>
          </xdr:cNvPicPr>
        </xdr:nvPicPr>
        <xdr:blipFill>
          <a:blip r:embed="rId8"/>
          <a:stretch>
            <a:fillRect/>
          </a:stretch>
        </xdr:blipFill>
        <xdr:spPr>
          <a:xfrm>
            <a:off x="322" y="713"/>
            <a:ext cx="78" cy="16"/>
          </a:xfrm>
          <a:prstGeom prst="rect">
            <a:avLst/>
          </a:prstGeom>
          <a:noFill/>
          <a:ln w="9525" cmpd="sng">
            <a:noFill/>
          </a:ln>
        </xdr:spPr>
      </xdr:pic>
      <xdr:pic>
        <xdr:nvPicPr>
          <xdr:cNvPr id="65" name="ScrollBar58"/>
          <xdr:cNvPicPr preferRelativeResize="1">
            <a:picLocks noChangeAspect="1"/>
          </xdr:cNvPicPr>
        </xdr:nvPicPr>
        <xdr:blipFill>
          <a:blip r:embed="rId8"/>
          <a:stretch>
            <a:fillRect/>
          </a:stretch>
        </xdr:blipFill>
        <xdr:spPr>
          <a:xfrm>
            <a:off x="322" y="730"/>
            <a:ext cx="78" cy="16"/>
          </a:xfrm>
          <a:prstGeom prst="rect">
            <a:avLst/>
          </a:prstGeom>
          <a:noFill/>
          <a:ln w="9525" cmpd="sng">
            <a:noFill/>
          </a:ln>
        </xdr:spPr>
      </xdr:pic>
      <xdr:pic>
        <xdr:nvPicPr>
          <xdr:cNvPr id="66" name="ScrollBar60"/>
          <xdr:cNvPicPr preferRelativeResize="1">
            <a:picLocks noChangeAspect="1"/>
          </xdr:cNvPicPr>
        </xdr:nvPicPr>
        <xdr:blipFill>
          <a:blip r:embed="rId8"/>
          <a:stretch>
            <a:fillRect/>
          </a:stretch>
        </xdr:blipFill>
        <xdr:spPr>
          <a:xfrm>
            <a:off x="322" y="747"/>
            <a:ext cx="78" cy="16"/>
          </a:xfrm>
          <a:prstGeom prst="rect">
            <a:avLst/>
          </a:prstGeom>
          <a:noFill/>
          <a:ln w="9525" cmpd="sng">
            <a:noFill/>
          </a:ln>
        </xdr:spPr>
      </xdr:pic>
      <xdr:pic>
        <xdr:nvPicPr>
          <xdr:cNvPr id="67" name="ScrollBar62"/>
          <xdr:cNvPicPr preferRelativeResize="1">
            <a:picLocks noChangeAspect="1"/>
          </xdr:cNvPicPr>
        </xdr:nvPicPr>
        <xdr:blipFill>
          <a:blip r:embed="rId8"/>
          <a:stretch>
            <a:fillRect/>
          </a:stretch>
        </xdr:blipFill>
        <xdr:spPr>
          <a:xfrm>
            <a:off x="322" y="764"/>
            <a:ext cx="78" cy="16"/>
          </a:xfrm>
          <a:prstGeom prst="rect">
            <a:avLst/>
          </a:prstGeom>
          <a:noFill/>
          <a:ln w="9525" cmpd="sng">
            <a:noFill/>
          </a:ln>
        </xdr:spPr>
      </xdr:pic>
      <xdr:pic>
        <xdr:nvPicPr>
          <xdr:cNvPr id="68" name="ScrollBar64"/>
          <xdr:cNvPicPr preferRelativeResize="1">
            <a:picLocks noChangeAspect="1"/>
          </xdr:cNvPicPr>
        </xdr:nvPicPr>
        <xdr:blipFill>
          <a:blip r:embed="rId8"/>
          <a:stretch>
            <a:fillRect/>
          </a:stretch>
        </xdr:blipFill>
        <xdr:spPr>
          <a:xfrm>
            <a:off x="322" y="781"/>
            <a:ext cx="78" cy="16"/>
          </a:xfrm>
          <a:prstGeom prst="rect">
            <a:avLst/>
          </a:prstGeom>
          <a:noFill/>
          <a:ln w="9525" cmpd="sng">
            <a:noFill/>
          </a:ln>
        </xdr:spPr>
      </xdr:pic>
    </xdr:grpSp>
    <xdr:clientData/>
  </xdr:twoCellAnchor>
  <xdr:twoCellAnchor editAs="oneCell">
    <xdr:from>
      <xdr:col>10</xdr:col>
      <xdr:colOff>0</xdr:colOff>
      <xdr:row>2</xdr:row>
      <xdr:rowOff>0</xdr:rowOff>
    </xdr:from>
    <xdr:to>
      <xdr:col>11</xdr:col>
      <xdr:colOff>0</xdr:colOff>
      <xdr:row>3</xdr:row>
      <xdr:rowOff>9525</xdr:rowOff>
    </xdr:to>
    <xdr:pic>
      <xdr:nvPicPr>
        <xdr:cNvPr id="69" name="ScrollBar65"/>
        <xdr:cNvPicPr preferRelativeResize="1">
          <a:picLocks noChangeAspect="1"/>
        </xdr:cNvPicPr>
      </xdr:nvPicPr>
      <xdr:blipFill>
        <a:blip r:embed="rId9"/>
        <a:stretch>
          <a:fillRect/>
        </a:stretch>
      </xdr:blipFill>
      <xdr:spPr>
        <a:xfrm>
          <a:off x="9144000" y="342900"/>
          <a:ext cx="762000" cy="180975"/>
        </a:xfrm>
        <a:prstGeom prst="rect">
          <a:avLst/>
        </a:prstGeom>
        <a:noFill/>
        <a:ln w="9525" cmpd="sng">
          <a:noFill/>
        </a:ln>
      </xdr:spPr>
    </xdr:pic>
    <xdr:clientData/>
  </xdr:twoCellAnchor>
  <xdr:twoCellAnchor editAs="oneCell">
    <xdr:from>
      <xdr:col>11</xdr:col>
      <xdr:colOff>0</xdr:colOff>
      <xdr:row>2</xdr:row>
      <xdr:rowOff>9525</xdr:rowOff>
    </xdr:from>
    <xdr:to>
      <xdr:col>12</xdr:col>
      <xdr:colOff>0</xdr:colOff>
      <xdr:row>3</xdr:row>
      <xdr:rowOff>19050</xdr:rowOff>
    </xdr:to>
    <xdr:pic>
      <xdr:nvPicPr>
        <xdr:cNvPr id="70" name="ScrollBar66"/>
        <xdr:cNvPicPr preferRelativeResize="1">
          <a:picLocks noChangeAspect="1"/>
        </xdr:cNvPicPr>
      </xdr:nvPicPr>
      <xdr:blipFill>
        <a:blip r:embed="rId10"/>
        <a:stretch>
          <a:fillRect/>
        </a:stretch>
      </xdr:blipFill>
      <xdr:spPr>
        <a:xfrm>
          <a:off x="9906000" y="352425"/>
          <a:ext cx="762000" cy="180975"/>
        </a:xfrm>
        <a:prstGeom prst="rect">
          <a:avLst/>
        </a:prstGeom>
        <a:noFill/>
        <a:ln w="9525" cmpd="sng">
          <a:noFill/>
        </a:ln>
      </xdr:spPr>
    </xdr:pic>
    <xdr:clientData/>
  </xdr:twoCellAnchor>
  <xdr:twoCellAnchor editAs="oneCell">
    <xdr:from>
      <xdr:col>10</xdr:col>
      <xdr:colOff>0</xdr:colOff>
      <xdr:row>3</xdr:row>
      <xdr:rowOff>19050</xdr:rowOff>
    </xdr:from>
    <xdr:to>
      <xdr:col>11</xdr:col>
      <xdr:colOff>0</xdr:colOff>
      <xdr:row>3</xdr:row>
      <xdr:rowOff>171450</xdr:rowOff>
    </xdr:to>
    <xdr:pic>
      <xdr:nvPicPr>
        <xdr:cNvPr id="71" name="ScrollBar68"/>
        <xdr:cNvPicPr preferRelativeResize="1">
          <a:picLocks noChangeAspect="1"/>
        </xdr:cNvPicPr>
      </xdr:nvPicPr>
      <xdr:blipFill>
        <a:blip r:embed="rId11"/>
        <a:stretch>
          <a:fillRect/>
        </a:stretch>
      </xdr:blipFill>
      <xdr:spPr>
        <a:xfrm>
          <a:off x="9144000" y="533400"/>
          <a:ext cx="762000" cy="152400"/>
        </a:xfrm>
        <a:prstGeom prst="rect">
          <a:avLst/>
        </a:prstGeom>
        <a:noFill/>
        <a:ln w="9525" cmpd="sng">
          <a:noFill/>
        </a:ln>
      </xdr:spPr>
    </xdr:pic>
    <xdr:clientData/>
  </xdr:twoCellAnchor>
  <xdr:twoCellAnchor editAs="oneCell">
    <xdr:from>
      <xdr:col>10</xdr:col>
      <xdr:colOff>0</xdr:colOff>
      <xdr:row>9</xdr:row>
      <xdr:rowOff>0</xdr:rowOff>
    </xdr:from>
    <xdr:to>
      <xdr:col>11</xdr:col>
      <xdr:colOff>0</xdr:colOff>
      <xdr:row>10</xdr:row>
      <xdr:rowOff>9525</xdr:rowOff>
    </xdr:to>
    <xdr:pic>
      <xdr:nvPicPr>
        <xdr:cNvPr id="72" name="ScrollBar69"/>
        <xdr:cNvPicPr preferRelativeResize="1">
          <a:picLocks noChangeAspect="1"/>
        </xdr:cNvPicPr>
      </xdr:nvPicPr>
      <xdr:blipFill>
        <a:blip r:embed="rId12"/>
        <a:stretch>
          <a:fillRect/>
        </a:stretch>
      </xdr:blipFill>
      <xdr:spPr>
        <a:xfrm>
          <a:off x="9144000" y="1543050"/>
          <a:ext cx="762000" cy="180975"/>
        </a:xfrm>
        <a:prstGeom prst="rect">
          <a:avLst/>
        </a:prstGeom>
        <a:noFill/>
        <a:ln w="9525" cmpd="sng">
          <a:noFill/>
        </a:ln>
      </xdr:spPr>
    </xdr:pic>
    <xdr:clientData/>
  </xdr:twoCellAnchor>
  <xdr:twoCellAnchor editAs="oneCell">
    <xdr:from>
      <xdr:col>11</xdr:col>
      <xdr:colOff>19050</xdr:colOff>
      <xdr:row>8</xdr:row>
      <xdr:rowOff>161925</xdr:rowOff>
    </xdr:from>
    <xdr:to>
      <xdr:col>12</xdr:col>
      <xdr:colOff>19050</xdr:colOff>
      <xdr:row>10</xdr:row>
      <xdr:rowOff>0</xdr:rowOff>
    </xdr:to>
    <xdr:pic>
      <xdr:nvPicPr>
        <xdr:cNvPr id="73" name="ScrollBar70"/>
        <xdr:cNvPicPr preferRelativeResize="1">
          <a:picLocks noChangeAspect="1"/>
        </xdr:cNvPicPr>
      </xdr:nvPicPr>
      <xdr:blipFill>
        <a:blip r:embed="rId12"/>
        <a:stretch>
          <a:fillRect/>
        </a:stretch>
      </xdr:blipFill>
      <xdr:spPr>
        <a:xfrm>
          <a:off x="9925050" y="1533525"/>
          <a:ext cx="762000" cy="180975"/>
        </a:xfrm>
        <a:prstGeom prst="rect">
          <a:avLst/>
        </a:prstGeom>
        <a:noFill/>
        <a:ln w="9525" cmpd="sng">
          <a:noFill/>
        </a:ln>
      </xdr:spPr>
    </xdr:pic>
    <xdr:clientData/>
  </xdr:twoCellAnchor>
  <xdr:twoCellAnchor editAs="oneCell">
    <xdr:from>
      <xdr:col>10</xdr:col>
      <xdr:colOff>85725</xdr:colOff>
      <xdr:row>10</xdr:row>
      <xdr:rowOff>19050</xdr:rowOff>
    </xdr:from>
    <xdr:to>
      <xdr:col>11</xdr:col>
      <xdr:colOff>85725</xdr:colOff>
      <xdr:row>11</xdr:row>
      <xdr:rowOff>28575</xdr:rowOff>
    </xdr:to>
    <xdr:pic>
      <xdr:nvPicPr>
        <xdr:cNvPr id="74" name="ScrollBar71"/>
        <xdr:cNvPicPr preferRelativeResize="1">
          <a:picLocks noChangeAspect="1"/>
        </xdr:cNvPicPr>
      </xdr:nvPicPr>
      <xdr:blipFill>
        <a:blip r:embed="rId13"/>
        <a:stretch>
          <a:fillRect/>
        </a:stretch>
      </xdr:blipFill>
      <xdr:spPr>
        <a:xfrm>
          <a:off x="9229725" y="1733550"/>
          <a:ext cx="762000" cy="180975"/>
        </a:xfrm>
        <a:prstGeom prst="rect">
          <a:avLst/>
        </a:prstGeom>
        <a:noFill/>
        <a:ln w="9525" cmpd="sng">
          <a:noFill/>
        </a:ln>
      </xdr:spPr>
    </xdr:pic>
    <xdr:clientData/>
  </xdr:twoCellAnchor>
  <xdr:twoCellAnchor editAs="oneCell">
    <xdr:from>
      <xdr:col>3</xdr:col>
      <xdr:colOff>0</xdr:colOff>
      <xdr:row>15</xdr:row>
      <xdr:rowOff>9525</xdr:rowOff>
    </xdr:from>
    <xdr:to>
      <xdr:col>3</xdr:col>
      <xdr:colOff>1504950</xdr:colOff>
      <xdr:row>15</xdr:row>
      <xdr:rowOff>152400</xdr:rowOff>
    </xdr:to>
    <xdr:pic>
      <xdr:nvPicPr>
        <xdr:cNvPr id="75" name="ScrollBar72"/>
        <xdr:cNvPicPr preferRelativeResize="1">
          <a:picLocks noChangeAspect="1"/>
        </xdr:cNvPicPr>
      </xdr:nvPicPr>
      <xdr:blipFill>
        <a:blip r:embed="rId14"/>
        <a:stretch>
          <a:fillRect/>
        </a:stretch>
      </xdr:blipFill>
      <xdr:spPr>
        <a:xfrm>
          <a:off x="3048000" y="2581275"/>
          <a:ext cx="1504950" cy="142875"/>
        </a:xfrm>
        <a:prstGeom prst="rect">
          <a:avLst/>
        </a:prstGeom>
        <a:noFill/>
        <a:ln w="9525" cmpd="sng">
          <a:noFill/>
        </a:ln>
      </xdr:spPr>
    </xdr:pic>
    <xdr:clientData/>
  </xdr:twoCellAnchor>
  <xdr:twoCellAnchor editAs="oneCell">
    <xdr:from>
      <xdr:col>3</xdr:col>
      <xdr:colOff>0</xdr:colOff>
      <xdr:row>17</xdr:row>
      <xdr:rowOff>9525</xdr:rowOff>
    </xdr:from>
    <xdr:to>
      <xdr:col>3</xdr:col>
      <xdr:colOff>1504950</xdr:colOff>
      <xdr:row>17</xdr:row>
      <xdr:rowOff>152400</xdr:rowOff>
    </xdr:to>
    <xdr:pic>
      <xdr:nvPicPr>
        <xdr:cNvPr id="76" name="ScrollBar67"/>
        <xdr:cNvPicPr preferRelativeResize="1">
          <a:picLocks noChangeAspect="1"/>
        </xdr:cNvPicPr>
      </xdr:nvPicPr>
      <xdr:blipFill>
        <a:blip r:embed="rId14"/>
        <a:stretch>
          <a:fillRect/>
        </a:stretch>
      </xdr:blipFill>
      <xdr:spPr>
        <a:xfrm>
          <a:off x="3048000" y="2924175"/>
          <a:ext cx="1504950" cy="142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57150</xdr:colOff>
      <xdr:row>8</xdr:row>
      <xdr:rowOff>95250</xdr:rowOff>
    </xdr:from>
    <xdr:to>
      <xdr:col>19</xdr:col>
      <xdr:colOff>76200</xdr:colOff>
      <xdr:row>31</xdr:row>
      <xdr:rowOff>85725</xdr:rowOff>
    </xdr:to>
    <xdr:graphicFrame>
      <xdr:nvGraphicFramePr>
        <xdr:cNvPr id="1" name="Chart 3"/>
        <xdr:cNvGraphicFramePr/>
      </xdr:nvGraphicFramePr>
      <xdr:xfrm>
        <a:off x="9201150" y="1419225"/>
        <a:ext cx="5353050" cy="3714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euil1"/>
  <dimension ref="A1:CU87"/>
  <sheetViews>
    <sheetView tabSelected="1" workbookViewId="0" topLeftCell="A1">
      <selection activeCell="G9" sqref="G9"/>
    </sheetView>
  </sheetViews>
  <sheetFormatPr defaultColWidth="11.421875" defaultRowHeight="12.75"/>
  <cols>
    <col min="3" max="4" width="22.8515625" style="0" customWidth="1"/>
  </cols>
  <sheetData>
    <row r="1" spans="1:13" ht="13.5" thickBot="1">
      <c r="A1" s="55" t="s">
        <v>33</v>
      </c>
      <c r="B1" s="17"/>
      <c r="C1" s="17"/>
      <c r="D1" s="17"/>
      <c r="E1" s="17"/>
      <c r="F1" s="71"/>
      <c r="G1" s="29"/>
      <c r="H1" s="68" t="s">
        <v>36</v>
      </c>
      <c r="J1" s="44"/>
      <c r="K1" s="45"/>
      <c r="L1" s="45"/>
      <c r="M1" s="46" t="s">
        <v>25</v>
      </c>
    </row>
    <row r="2" spans="3:13" ht="13.5" thickBot="1">
      <c r="C2" s="90" t="s">
        <v>38</v>
      </c>
      <c r="D2" s="88"/>
      <c r="E2" s="89">
        <v>33.5</v>
      </c>
      <c r="F2" s="29"/>
      <c r="G2" s="66"/>
      <c r="H2" s="69" t="s">
        <v>37</v>
      </c>
      <c r="J2" s="52" t="s">
        <v>29</v>
      </c>
      <c r="K2" s="48">
        <f>K3/1000</f>
        <v>3.525</v>
      </c>
      <c r="L2" s="49">
        <f>L3/1000</f>
        <v>25.798</v>
      </c>
      <c r="M2" s="53" t="s">
        <v>32</v>
      </c>
    </row>
    <row r="3" spans="1:13" ht="13.5" thickBot="1">
      <c r="A3" s="56" t="s">
        <v>47</v>
      </c>
      <c r="C3" s="91" t="s">
        <v>39</v>
      </c>
      <c r="D3" s="87"/>
      <c r="E3" s="89">
        <v>32</v>
      </c>
      <c r="H3" s="70" t="s">
        <v>35</v>
      </c>
      <c r="J3" s="27"/>
      <c r="K3" s="40">
        <v>3525</v>
      </c>
      <c r="L3" s="40">
        <v>25798</v>
      </c>
      <c r="M3" s="54">
        <f>L2-K2</f>
        <v>22.273</v>
      </c>
    </row>
    <row r="4" spans="8:99" ht="13.5" thickBot="1">
      <c r="H4" s="116" t="s">
        <v>21</v>
      </c>
      <c r="J4" s="47" t="s">
        <v>28</v>
      </c>
      <c r="K4" s="40">
        <v>18584</v>
      </c>
      <c r="L4" s="48">
        <f>K4/1000-19</f>
        <v>-0.41600000000000037</v>
      </c>
      <c r="M4" s="49">
        <f>L4</f>
        <v>-0.41600000000000037</v>
      </c>
      <c r="N4" s="16"/>
      <c r="O4" s="35" t="s">
        <v>22</v>
      </c>
      <c r="P4" s="17" t="str">
        <f>Modèles!G4</f>
        <v>1 Cercle</v>
      </c>
      <c r="Q4" s="17" t="str">
        <f>Modèles!H4</f>
        <v>2 Multitub Papyjo</v>
      </c>
      <c r="R4" s="17" t="str">
        <f>Modèles!I4</f>
        <v>3 Ellipse 1/2</v>
      </c>
      <c r="S4" s="17" t="str">
        <f>Modèles!J4</f>
        <v>4 Rectangle</v>
      </c>
      <c r="T4" s="17">
        <f>Modèles!K4</f>
        <v>5</v>
      </c>
      <c r="U4" s="17">
        <f>Modèles!L4</f>
        <v>6</v>
      </c>
      <c r="V4" s="17">
        <f>Modèles!M4</f>
        <v>7</v>
      </c>
      <c r="W4" s="17">
        <f>Modèles!N4</f>
        <v>8</v>
      </c>
      <c r="X4" s="17">
        <f>Modèles!O4</f>
        <v>9</v>
      </c>
      <c r="Y4" s="17">
        <f>Modèles!P4</f>
        <v>10</v>
      </c>
      <c r="Z4" s="17">
        <f>Modèles!Q4</f>
        <v>11</v>
      </c>
      <c r="AA4" s="17">
        <f>Modèles!R4</f>
        <v>12</v>
      </c>
      <c r="AB4" s="17">
        <f>Modèles!S4</f>
        <v>13</v>
      </c>
      <c r="AC4" s="17">
        <f>Modèles!T4</f>
        <v>14</v>
      </c>
      <c r="AD4" s="17">
        <f>Modèles!U4</f>
        <v>15</v>
      </c>
      <c r="AE4" s="17">
        <f>Modèles!V4</f>
        <v>16</v>
      </c>
      <c r="AF4" s="17">
        <f>Modèles!W4</f>
        <v>17</v>
      </c>
      <c r="AG4" s="17">
        <f>Modèles!X4</f>
        <v>18</v>
      </c>
      <c r="AH4" s="17">
        <f>Modèles!Y4</f>
        <v>19</v>
      </c>
      <c r="AI4" s="17">
        <f>Modèles!Z4</f>
        <v>20</v>
      </c>
      <c r="AJ4" s="17">
        <f>Modèles!AA4</f>
        <v>21</v>
      </c>
      <c r="AK4" s="17">
        <f>Modèles!AB4</f>
        <v>22</v>
      </c>
      <c r="AL4" s="17">
        <f>Modèles!AC4</f>
        <v>23</v>
      </c>
      <c r="AM4" s="17">
        <f>Modèles!AD4</f>
        <v>24</v>
      </c>
      <c r="AN4" s="17">
        <f>Modèles!AE4</f>
        <v>25</v>
      </c>
      <c r="AO4" s="17">
        <f>Modèles!AF4</f>
        <v>26</v>
      </c>
      <c r="AP4" s="17">
        <f>Modèles!AG4</f>
        <v>27</v>
      </c>
      <c r="AQ4" s="17">
        <f>Modèles!AH4</f>
        <v>28</v>
      </c>
      <c r="AR4" s="17">
        <f>Modèles!AI4</f>
        <v>29</v>
      </c>
      <c r="AS4" s="17">
        <f>Modèles!AJ4</f>
        <v>30</v>
      </c>
      <c r="AT4" s="17">
        <f>Modèles!AK4</f>
        <v>31</v>
      </c>
      <c r="AU4" s="17">
        <f>Modèles!AL4</f>
        <v>32</v>
      </c>
      <c r="AV4" s="17">
        <f>Modèles!AM4</f>
        <v>33</v>
      </c>
      <c r="AW4" s="17">
        <f>Modèles!AN4</f>
        <v>34</v>
      </c>
      <c r="AX4" s="17">
        <f>Modèles!AO4</f>
        <v>35</v>
      </c>
      <c r="AY4" s="17">
        <f>Modèles!AP4</f>
        <v>36</v>
      </c>
      <c r="AZ4" s="17">
        <f>Modèles!AQ4</f>
        <v>37</v>
      </c>
      <c r="BA4" s="17">
        <f>Modèles!AR4</f>
        <v>38</v>
      </c>
      <c r="BB4" s="17">
        <f>Modèles!AS4</f>
        <v>39</v>
      </c>
      <c r="BC4" s="17">
        <f>Modèles!AT4</f>
        <v>40</v>
      </c>
      <c r="BD4" s="17">
        <f>Modèles!AU4</f>
        <v>41</v>
      </c>
      <c r="BE4" s="17">
        <f>Modèles!AV4</f>
        <v>42</v>
      </c>
      <c r="BF4" s="17">
        <f>Modèles!AW4</f>
        <v>43</v>
      </c>
      <c r="BG4" s="17">
        <f>Modèles!AX4</f>
        <v>44</v>
      </c>
      <c r="BH4" s="17">
        <f>Modèles!AY4</f>
        <v>45</v>
      </c>
      <c r="BI4" s="17">
        <f>Modèles!AZ4</f>
        <v>46</v>
      </c>
      <c r="BJ4" s="17">
        <f>Modèles!BA4</f>
        <v>47</v>
      </c>
      <c r="BK4" s="17">
        <f>Modèles!BB4</f>
        <v>48</v>
      </c>
      <c r="BL4" s="17">
        <f>Modèles!BC4</f>
        <v>49</v>
      </c>
      <c r="BM4" s="17">
        <f>Modèles!BD4</f>
        <v>50</v>
      </c>
      <c r="BN4" s="17">
        <f>Modèles!BE4</f>
        <v>51</v>
      </c>
      <c r="BO4" s="17">
        <f>Modèles!BF4</f>
        <v>52</v>
      </c>
      <c r="BP4" s="17">
        <f>Modèles!BG4</f>
        <v>53</v>
      </c>
      <c r="BQ4" s="17">
        <f>Modèles!BH4</f>
        <v>54</v>
      </c>
      <c r="BR4" s="17">
        <f>Modèles!BI4</f>
        <v>55</v>
      </c>
      <c r="BS4" s="17">
        <f>Modèles!BJ4</f>
        <v>56</v>
      </c>
      <c r="BT4" s="17">
        <f>Modèles!BK4</f>
        <v>57</v>
      </c>
      <c r="BU4" s="17">
        <f>Modèles!BL4</f>
        <v>58</v>
      </c>
      <c r="BV4" s="17">
        <f>Modèles!BM4</f>
        <v>59</v>
      </c>
      <c r="BW4" s="17">
        <f>Modèles!BN4</f>
        <v>60</v>
      </c>
      <c r="BX4" s="17">
        <f>Modèles!BO4</f>
        <v>61</v>
      </c>
      <c r="BY4" s="17">
        <f>Modèles!BP4</f>
        <v>62</v>
      </c>
      <c r="BZ4" s="17">
        <f>Modèles!BQ4</f>
        <v>63</v>
      </c>
      <c r="CA4" s="17">
        <f>Modèles!BR4</f>
        <v>64</v>
      </c>
      <c r="CB4" s="17">
        <f>Modèles!BS4</f>
        <v>65</v>
      </c>
      <c r="CC4" s="17">
        <f>Modèles!BT4</f>
        <v>66</v>
      </c>
      <c r="CD4" s="17">
        <f>Modèles!BU4</f>
        <v>67</v>
      </c>
      <c r="CE4" s="17">
        <f>Modèles!BV4</f>
        <v>68</v>
      </c>
      <c r="CF4" s="17"/>
      <c r="CG4" s="17"/>
      <c r="CH4" s="17"/>
      <c r="CI4" s="17"/>
      <c r="CJ4" s="17"/>
      <c r="CK4" s="17"/>
      <c r="CL4" s="17"/>
      <c r="CM4" s="17"/>
      <c r="CN4" s="17"/>
      <c r="CO4" s="17"/>
      <c r="CP4" s="17"/>
      <c r="CQ4" s="17"/>
      <c r="CR4" s="17"/>
      <c r="CS4" s="17"/>
      <c r="CT4" s="17"/>
      <c r="CU4" s="18"/>
    </row>
    <row r="5" spans="1:13" ht="13.5" thickBot="1">
      <c r="A5" s="56" t="s">
        <v>24</v>
      </c>
      <c r="H5" s="117"/>
      <c r="J5" s="27"/>
      <c r="K5" s="40"/>
      <c r="L5" s="40"/>
      <c r="M5" s="28"/>
    </row>
    <row r="6" spans="3:55" ht="13.5" thickBot="1">
      <c r="C6" s="59" t="s">
        <v>26</v>
      </c>
      <c r="D6" s="60"/>
      <c r="E6" s="61">
        <f>N48</f>
        <v>268.02966444444445</v>
      </c>
      <c r="F6" s="72"/>
      <c r="H6" s="62"/>
      <c r="J6" s="27"/>
      <c r="K6" s="40"/>
      <c r="L6" s="40"/>
      <c r="M6" s="28"/>
      <c r="Q6" s="16" t="s">
        <v>11</v>
      </c>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8"/>
    </row>
    <row r="7" spans="3:19" ht="13.5" thickBot="1">
      <c r="C7" s="57" t="s">
        <v>34</v>
      </c>
      <c r="D7" s="58"/>
      <c r="E7" s="76">
        <f>E6/((L2-K2)*(L9-K9))*E2*E3</f>
        <v>917.3854278885135</v>
      </c>
      <c r="H7" s="42"/>
      <c r="J7" s="27"/>
      <c r="K7" s="40"/>
      <c r="L7" s="40"/>
      <c r="M7" s="28"/>
      <c r="Q7" s="16"/>
      <c r="R7" s="17" t="s">
        <v>16</v>
      </c>
      <c r="S7" s="18"/>
    </row>
    <row r="8" spans="3:18" ht="13.5" thickBot="1">
      <c r="C8" s="43" t="s">
        <v>40</v>
      </c>
      <c r="D8" s="17"/>
      <c r="E8" s="74">
        <f>E6/((MAX(H17:H47)-MIN(H17:H47))*(MAX(I17:I47)-MIN(I17:I47)))</f>
        <v>0.7579606215795787</v>
      </c>
      <c r="F8" s="11"/>
      <c r="G8" s="29"/>
      <c r="H8" s="30"/>
      <c r="J8" s="44"/>
      <c r="K8" s="45"/>
      <c r="L8" s="45"/>
      <c r="M8" s="46" t="s">
        <v>27</v>
      </c>
      <c r="Q8" s="7" t="s">
        <v>12</v>
      </c>
      <c r="R8" s="19"/>
    </row>
    <row r="9" spans="3:18" ht="13.5" thickBot="1">
      <c r="C9" s="29"/>
      <c r="D9" s="38"/>
      <c r="E9" s="73"/>
      <c r="G9" s="29"/>
      <c r="H9" s="30"/>
      <c r="J9" s="47" t="s">
        <v>30</v>
      </c>
      <c r="K9" s="48">
        <f>-K10/1000</f>
        <v>-7.359</v>
      </c>
      <c r="L9" s="49">
        <f>L10/1000</f>
        <v>6.703</v>
      </c>
      <c r="M9" s="53" t="s">
        <v>32</v>
      </c>
      <c r="Q9" s="21" t="s">
        <v>0</v>
      </c>
      <c r="R9" s="21" t="s">
        <v>1</v>
      </c>
    </row>
    <row r="10" spans="3:18" ht="13.5" thickBot="1">
      <c r="C10" s="63" t="s">
        <v>48</v>
      </c>
      <c r="D10" s="75"/>
      <c r="H10" s="29"/>
      <c r="J10" s="50"/>
      <c r="K10" s="51">
        <v>7359</v>
      </c>
      <c r="L10" s="51">
        <v>6703</v>
      </c>
      <c r="M10" s="54">
        <f>L9-K9</f>
        <v>14.062000000000001</v>
      </c>
      <c r="Q10" s="21">
        <f>Q11/100</f>
        <v>18.1</v>
      </c>
      <c r="R10" s="18">
        <v>2</v>
      </c>
    </row>
    <row r="11" spans="3:17" ht="13.5" thickBot="1">
      <c r="C11" s="101" t="s">
        <v>49</v>
      </c>
      <c r="D11" s="99" t="s">
        <v>50</v>
      </c>
      <c r="H11" s="29"/>
      <c r="J11" s="47" t="s">
        <v>31</v>
      </c>
      <c r="K11" s="51">
        <v>16535</v>
      </c>
      <c r="L11" s="48">
        <f>K11/1000-4</f>
        <v>12.535</v>
      </c>
      <c r="M11" s="49">
        <f>L11</f>
        <v>12.535</v>
      </c>
      <c r="Q11">
        <v>1810</v>
      </c>
    </row>
    <row r="12" spans="3:18" ht="13.5" thickBot="1">
      <c r="C12" s="102">
        <f>C13/1500-5</f>
        <v>8.333333333333334</v>
      </c>
      <c r="D12" s="100">
        <f>D13/1500-5</f>
        <v>8.333333333333334</v>
      </c>
      <c r="H12" s="29"/>
      <c r="N12" s="2" t="s">
        <v>7</v>
      </c>
      <c r="Q12" s="13" t="s">
        <v>13</v>
      </c>
      <c r="R12">
        <f>R13/1000</f>
        <v>7</v>
      </c>
    </row>
    <row r="13" spans="3:18" ht="13.5" thickBot="1">
      <c r="C13" s="64">
        <v>20000</v>
      </c>
      <c r="D13" s="65">
        <v>20000</v>
      </c>
      <c r="F13" s="29"/>
      <c r="G13" s="29"/>
      <c r="N13" s="10" t="s">
        <v>8</v>
      </c>
      <c r="R13">
        <v>7000</v>
      </c>
    </row>
    <row r="14" spans="6:19" ht="13.5" thickBot="1">
      <c r="F14" s="96"/>
      <c r="G14" s="97"/>
      <c r="M14" s="7" t="s">
        <v>4</v>
      </c>
      <c r="N14" s="6" t="s">
        <v>9</v>
      </c>
      <c r="R14" s="13" t="s">
        <v>15</v>
      </c>
      <c r="S14">
        <f>PI()*RCercle^2</f>
        <v>153.93804002589985</v>
      </c>
    </row>
    <row r="15" spans="3:19" ht="13.5" thickBot="1">
      <c r="C15" s="106" t="s">
        <v>54</v>
      </c>
      <c r="D15" s="107"/>
      <c r="F15" s="96"/>
      <c r="G15" s="97"/>
      <c r="L15" s="36" t="s">
        <v>2</v>
      </c>
      <c r="M15" s="8" t="s">
        <v>5</v>
      </c>
      <c r="N15" s="10" t="s">
        <v>10</v>
      </c>
      <c r="Q15" s="14" t="s">
        <v>0</v>
      </c>
      <c r="R15" s="14" t="s">
        <v>1</v>
      </c>
      <c r="S15" s="15" t="s">
        <v>14</v>
      </c>
    </row>
    <row r="16" spans="3:19" ht="13.5" thickBot="1">
      <c r="C16" s="108">
        <f>D16/16000</f>
        <v>1</v>
      </c>
      <c r="D16" s="109">
        <v>16000</v>
      </c>
      <c r="F16" s="97"/>
      <c r="G16" s="32" t="s">
        <v>51</v>
      </c>
      <c r="H16" s="114" t="s">
        <v>52</v>
      </c>
      <c r="I16" s="114" t="s">
        <v>53</v>
      </c>
      <c r="J16" s="32" t="s">
        <v>18</v>
      </c>
      <c r="K16" s="98" t="s">
        <v>19</v>
      </c>
      <c r="L16" s="5" t="s">
        <v>3</v>
      </c>
      <c r="M16" s="9" t="s">
        <v>6</v>
      </c>
      <c r="N16" s="3" t="s">
        <v>6</v>
      </c>
      <c r="Q16">
        <f>XPosCentreCercle-RCercle</f>
        <v>11.100000000000001</v>
      </c>
      <c r="R16">
        <f>SQRT(RCercle^2-(Q16-XPosCentreCercle)^2)+YPositcentreCercle</f>
        <v>2</v>
      </c>
      <c r="S16">
        <f>-R16+2*YPositcentreCercle</f>
        <v>2</v>
      </c>
    </row>
    <row r="17" spans="3:19" ht="13.5" thickBot="1">
      <c r="C17" s="106" t="s">
        <v>55</v>
      </c>
      <c r="D17" s="107"/>
      <c r="F17" s="105"/>
      <c r="G17" s="22">
        <v>1</v>
      </c>
      <c r="H17" s="103">
        <f>J17*EchHgéné+C22/1500-15+XDépGéné</f>
        <v>3.4906666666666677</v>
      </c>
      <c r="I17" s="111">
        <f>K17*EchVGéné+D22/1500-15+YDépGéné</f>
        <v>-0.4793333333333347</v>
      </c>
      <c r="J17" s="37">
        <f>Modèles!D7</f>
        <v>3.490666666666666</v>
      </c>
      <c r="K17" s="33">
        <f>Modèles!D39</f>
        <v>-0.4793333333333347</v>
      </c>
      <c r="L17" s="11">
        <f>SQRT(H17^2+I17^2)</f>
        <v>3.5234236506872447</v>
      </c>
      <c r="Q17">
        <f>Q16+RCercle/50</f>
        <v>11.240000000000002</v>
      </c>
      <c r="R17">
        <f aca="true" t="shared" si="0" ref="R17:R52">SQRT(RCercle^2-(Q17-XPosCentreCercle)^2)+YPositcentreCercle</f>
        <v>3.392982411949272</v>
      </c>
      <c r="S17">
        <f aca="true" t="shared" si="1" ref="S17:S53">-R17+2*YPositcentreCercle</f>
        <v>0.607017588050728</v>
      </c>
    </row>
    <row r="18" spans="3:19" ht="13.5" thickBot="1">
      <c r="C18" s="108">
        <f>D18/16000</f>
        <v>1</v>
      </c>
      <c r="D18" s="109">
        <v>16000</v>
      </c>
      <c r="F18" s="105"/>
      <c r="G18" s="22">
        <v>2</v>
      </c>
      <c r="H18" s="104">
        <f aca="true" t="shared" si="2" ref="H18:H46">J18*EchHgéné+C23/1500-15+XDépGéné</f>
        <v>3.513333333333337</v>
      </c>
      <c r="I18" s="112">
        <f aca="true" t="shared" si="3" ref="I18:I46">K18*EchVGéné+D23/1500-15+YDépGéné</f>
        <v>0.7893333333333326</v>
      </c>
      <c r="J18" s="38">
        <f>Modèles!D8</f>
        <v>3.5133333333333354</v>
      </c>
      <c r="K18" s="25">
        <f>Modèles!D40</f>
        <v>0.7893333333333317</v>
      </c>
      <c r="L18" s="11">
        <f aca="true" t="shared" si="4" ref="L18:L40">SQRT(H18^2+I18^2)</f>
        <v>3.6009107489942385</v>
      </c>
      <c r="M18">
        <f>ATAN(I18/H18)-ATAN(I17/H17)</f>
        <v>0.357463441030527</v>
      </c>
      <c r="N18" s="4">
        <f>-0.5*L18*L17*SIN(M18)</f>
        <v>-2.219678666666669</v>
      </c>
      <c r="Q18">
        <f>Q17+RCercle/50</f>
        <v>11.380000000000003</v>
      </c>
      <c r="R18">
        <f t="shared" si="0"/>
        <v>3.9600000000000035</v>
      </c>
      <c r="S18">
        <f t="shared" si="1"/>
        <v>0.03999999999999648</v>
      </c>
    </row>
    <row r="19" spans="6:19" ht="13.5" thickBot="1">
      <c r="F19" s="105"/>
      <c r="G19" s="22">
        <v>3</v>
      </c>
      <c r="H19" s="104">
        <f t="shared" si="2"/>
        <v>3.0820000000000025</v>
      </c>
      <c r="I19" s="112">
        <f t="shared" si="3"/>
        <v>2.562666666666667</v>
      </c>
      <c r="J19" s="38">
        <f>Modèles!D9</f>
        <v>3.0820000000000007</v>
      </c>
      <c r="K19" s="25">
        <f>Modèles!D41</f>
        <v>2.562666666666665</v>
      </c>
      <c r="L19" s="11">
        <f t="shared" si="4"/>
        <v>4.008239569242894</v>
      </c>
      <c r="M19">
        <f aca="true" t="shared" si="5" ref="M19:M40">ATAN(I19/H19)-ATAN(I18/H18)</f>
        <v>0.472653847223515</v>
      </c>
      <c r="N19" s="4">
        <f aca="true" t="shared" si="6" ref="N19:N40">-0.5*L19*L18*SIN(M19)</f>
        <v>-3.2853884444444508</v>
      </c>
      <c r="Q19">
        <f aca="true" t="shared" si="7" ref="Q19:Q26">Q18+RCercle/50</f>
        <v>11.520000000000003</v>
      </c>
      <c r="R19">
        <f t="shared" si="0"/>
        <v>4.388221095292482</v>
      </c>
      <c r="S19">
        <f t="shared" si="1"/>
        <v>-0.38822109529248205</v>
      </c>
    </row>
    <row r="20" spans="3:19" ht="12.75">
      <c r="C20" s="92" t="s">
        <v>45</v>
      </c>
      <c r="D20" s="93"/>
      <c r="F20" s="105"/>
      <c r="G20" s="22">
        <v>4</v>
      </c>
      <c r="H20" s="104">
        <f t="shared" si="2"/>
        <v>2.363333333333335</v>
      </c>
      <c r="I20" s="112">
        <f t="shared" si="3"/>
        <v>4.099333333333332</v>
      </c>
      <c r="J20" s="38">
        <f>Modèles!D10</f>
        <v>2.3633333333333333</v>
      </c>
      <c r="K20" s="25">
        <f>Modèles!D42</f>
        <v>4.09933333333333</v>
      </c>
      <c r="L20" s="11">
        <f t="shared" si="4"/>
        <v>4.731794397712375</v>
      </c>
      <c r="M20">
        <f t="shared" si="5"/>
        <v>0.354170899082795</v>
      </c>
      <c r="N20" s="4">
        <f t="shared" si="6"/>
        <v>-3.28885488888889</v>
      </c>
      <c r="Q20">
        <f t="shared" si="7"/>
        <v>11.660000000000004</v>
      </c>
      <c r="R20">
        <f t="shared" si="0"/>
        <v>4.743428511917165</v>
      </c>
      <c r="S20">
        <f t="shared" si="1"/>
        <v>-0.7434285119171653</v>
      </c>
    </row>
    <row r="21" spans="3:19" ht="13.5" thickBot="1">
      <c r="C21" s="94" t="s">
        <v>46</v>
      </c>
      <c r="D21" s="95"/>
      <c r="F21" s="105"/>
      <c r="G21" s="22">
        <v>5</v>
      </c>
      <c r="H21" s="104">
        <f t="shared" si="2"/>
        <v>0.9193333333333351</v>
      </c>
      <c r="I21" s="112">
        <f t="shared" si="3"/>
        <v>6.172666666666666</v>
      </c>
      <c r="J21" s="38">
        <f>Modèles!D11</f>
        <v>0.9193333333333342</v>
      </c>
      <c r="K21" s="25">
        <f>Modèles!D43</f>
        <v>6.1726666666666645</v>
      </c>
      <c r="L21" s="11">
        <f t="shared" si="4"/>
        <v>6.240752162644784</v>
      </c>
      <c r="M21">
        <f t="shared" si="5"/>
        <v>0.3751238627494118</v>
      </c>
      <c r="N21" s="4">
        <f t="shared" si="6"/>
        <v>-5.409707555555555</v>
      </c>
      <c r="Q21">
        <f t="shared" si="7"/>
        <v>11.800000000000004</v>
      </c>
      <c r="R21">
        <f t="shared" si="0"/>
        <v>5.051229260478477</v>
      </c>
      <c r="S21">
        <f t="shared" si="1"/>
        <v>-1.0512292604784772</v>
      </c>
    </row>
    <row r="22" spans="3:19" ht="12.75">
      <c r="C22" s="22">
        <v>10000</v>
      </c>
      <c r="D22" s="23">
        <v>10000</v>
      </c>
      <c r="F22" s="105"/>
      <c r="G22" s="22">
        <v>6</v>
      </c>
      <c r="H22" s="104">
        <f t="shared" si="2"/>
        <v>1.2226666666666697</v>
      </c>
      <c r="I22" s="112">
        <f t="shared" si="3"/>
        <v>6.345999999999998</v>
      </c>
      <c r="J22" s="38">
        <f>Modèles!D12</f>
        <v>1.2226666666666688</v>
      </c>
      <c r="K22" s="25">
        <f>Modèles!D44</f>
        <v>6.345999999999998</v>
      </c>
      <c r="L22" s="11">
        <f t="shared" si="4"/>
        <v>6.462710714381215</v>
      </c>
      <c r="M22">
        <f t="shared" si="5"/>
        <v>-0.04248567949548421</v>
      </c>
      <c r="N22" s="4">
        <f t="shared" si="6"/>
        <v>0.8565122222222277</v>
      </c>
      <c r="Q22">
        <f t="shared" si="7"/>
        <v>11.940000000000005</v>
      </c>
      <c r="R22">
        <f t="shared" si="0"/>
        <v>5.324815784370623</v>
      </c>
      <c r="S22">
        <f t="shared" si="1"/>
        <v>-1.3248157843706228</v>
      </c>
    </row>
    <row r="23" spans="3:19" ht="12.75">
      <c r="C23" s="22">
        <v>10000</v>
      </c>
      <c r="D23" s="23">
        <v>10000</v>
      </c>
      <c r="F23" s="105"/>
      <c r="G23" s="22">
        <v>7</v>
      </c>
      <c r="H23" s="104">
        <f t="shared" si="2"/>
        <v>2.519333333333334</v>
      </c>
      <c r="I23" s="112">
        <f t="shared" si="3"/>
        <v>5.279333333333332</v>
      </c>
      <c r="J23" s="38">
        <f>Modèles!D13</f>
        <v>2.519333333333332</v>
      </c>
      <c r="K23" s="25">
        <f>Modèles!D45</f>
        <v>5.279333333333332</v>
      </c>
      <c r="L23" s="11">
        <f t="shared" si="4"/>
        <v>5.849649638131234</v>
      </c>
      <c r="M23">
        <f t="shared" si="5"/>
        <v>-0.254912235064259</v>
      </c>
      <c r="N23" s="4">
        <f t="shared" si="6"/>
        <v>4.766412222222212</v>
      </c>
      <c r="Q23">
        <f t="shared" si="7"/>
        <v>12.080000000000005</v>
      </c>
      <c r="R23">
        <f t="shared" si="0"/>
        <v>5.572058230208468</v>
      </c>
      <c r="S23">
        <f t="shared" si="1"/>
        <v>-1.5720582302084676</v>
      </c>
    </row>
    <row r="24" spans="3:19" ht="12.75">
      <c r="C24" s="22">
        <v>10000</v>
      </c>
      <c r="D24" s="23">
        <v>10000</v>
      </c>
      <c r="F24" s="105"/>
      <c r="G24" s="22">
        <v>8</v>
      </c>
      <c r="H24" s="104">
        <f t="shared" si="2"/>
        <v>5.049333333333335</v>
      </c>
      <c r="I24" s="112">
        <f t="shared" si="3"/>
        <v>5.902666666666667</v>
      </c>
      <c r="J24" s="38">
        <f>Modèles!D14</f>
        <v>5.049333333333333</v>
      </c>
      <c r="K24" s="25">
        <f>Modèles!D46</f>
        <v>5.902666666666665</v>
      </c>
      <c r="L24" s="11">
        <f t="shared" si="4"/>
        <v>7.767704994970452</v>
      </c>
      <c r="M24">
        <f t="shared" si="5"/>
        <v>-0.2623922301413105</v>
      </c>
      <c r="N24" s="4">
        <f t="shared" si="6"/>
        <v>5.8931644444444435</v>
      </c>
      <c r="Q24">
        <f t="shared" si="7"/>
        <v>12.220000000000006</v>
      </c>
      <c r="R24">
        <f t="shared" si="0"/>
        <v>5.798104790550157</v>
      </c>
      <c r="S24">
        <f t="shared" si="1"/>
        <v>-1.7981047905501573</v>
      </c>
    </row>
    <row r="25" spans="3:19" ht="12.75">
      <c r="C25" s="22">
        <v>10000</v>
      </c>
      <c r="D25" s="23">
        <v>10000</v>
      </c>
      <c r="F25" s="105"/>
      <c r="G25" s="22">
        <v>9</v>
      </c>
      <c r="H25" s="104">
        <f t="shared" si="2"/>
        <v>7.559333333333333</v>
      </c>
      <c r="I25" s="112">
        <f t="shared" si="3"/>
        <v>6.472666666666667</v>
      </c>
      <c r="J25" s="38">
        <f>Modèles!D15</f>
        <v>7.559333333333331</v>
      </c>
      <c r="K25" s="25">
        <f>Modèles!D47</f>
        <v>6.472666666666665</v>
      </c>
      <c r="L25" s="11">
        <f t="shared" si="4"/>
        <v>9.95183069702365</v>
      </c>
      <c r="M25">
        <f t="shared" si="5"/>
        <v>-0.1550464318058884</v>
      </c>
      <c r="N25" s="4">
        <f t="shared" si="6"/>
        <v>5.968786666666659</v>
      </c>
      <c r="Q25">
        <f>Q24+RCercle/50</f>
        <v>12.360000000000007</v>
      </c>
      <c r="R25">
        <f t="shared" si="0"/>
        <v>6.006544645951179</v>
      </c>
      <c r="S25">
        <f t="shared" si="1"/>
        <v>-2.0065446459511787</v>
      </c>
    </row>
    <row r="26" spans="3:19" ht="12.75">
      <c r="C26" s="22">
        <v>10000</v>
      </c>
      <c r="D26" s="23">
        <v>10000</v>
      </c>
      <c r="F26" s="105"/>
      <c r="G26" s="22">
        <v>10</v>
      </c>
      <c r="H26" s="104">
        <f t="shared" si="2"/>
        <v>11.056000000000003</v>
      </c>
      <c r="I26" s="112">
        <f t="shared" si="3"/>
        <v>6.739333333333333</v>
      </c>
      <c r="J26" s="38">
        <f>Modèles!D16</f>
        <v>11.056000000000001</v>
      </c>
      <c r="K26" s="25">
        <f>Modèles!D48</f>
        <v>6.739333333333331</v>
      </c>
      <c r="L26" s="11">
        <f t="shared" si="4"/>
        <v>12.948117615228007</v>
      </c>
      <c r="M26">
        <f t="shared" si="5"/>
        <v>-0.16068860620650494</v>
      </c>
      <c r="N26" s="4">
        <f t="shared" si="6"/>
        <v>10.308467777777794</v>
      </c>
      <c r="Q26">
        <f t="shared" si="7"/>
        <v>12.500000000000007</v>
      </c>
      <c r="R26">
        <f t="shared" si="0"/>
        <v>6.200000000000007</v>
      </c>
      <c r="S26">
        <f t="shared" si="1"/>
        <v>-2.2000000000000073</v>
      </c>
    </row>
    <row r="27" spans="3:19" ht="12.75">
      <c r="C27" s="22">
        <v>10000</v>
      </c>
      <c r="D27" s="23">
        <v>10000</v>
      </c>
      <c r="F27" s="105"/>
      <c r="G27" s="22">
        <v>11</v>
      </c>
      <c r="H27" s="104">
        <f t="shared" si="2"/>
        <v>13.766000000000004</v>
      </c>
      <c r="I27" s="112">
        <f t="shared" si="3"/>
        <v>6.542666666666667</v>
      </c>
      <c r="J27" s="38">
        <f>Modèles!D17</f>
        <v>13.766000000000002</v>
      </c>
      <c r="K27" s="25">
        <f>Modèles!D49</f>
        <v>6.5426666666666655</v>
      </c>
      <c r="L27" s="11">
        <f t="shared" si="4"/>
        <v>15.24169423361823</v>
      </c>
      <c r="M27">
        <f t="shared" si="5"/>
        <v>-0.10374725303593552</v>
      </c>
      <c r="N27" s="4">
        <f t="shared" si="6"/>
        <v>10.218969999999997</v>
      </c>
      <c r="Q27">
        <f aca="true" t="shared" si="8" ref="Q27:Q32">Q26+RCercle/20</f>
        <v>12.850000000000007</v>
      </c>
      <c r="R27">
        <f t="shared" si="0"/>
        <v>6.630064794363039</v>
      </c>
      <c r="S27">
        <f t="shared" si="1"/>
        <v>-2.6300647943630393</v>
      </c>
    </row>
    <row r="28" spans="3:19" ht="12.75">
      <c r="C28" s="22">
        <v>10000</v>
      </c>
      <c r="D28" s="23">
        <v>10000</v>
      </c>
      <c r="F28" s="105"/>
      <c r="G28" s="22">
        <v>12</v>
      </c>
      <c r="H28" s="104">
        <f t="shared" si="2"/>
        <v>16.055999999999997</v>
      </c>
      <c r="I28" s="112">
        <f t="shared" si="3"/>
        <v>6.136000000000001</v>
      </c>
      <c r="J28" s="38">
        <f>Modèles!D18</f>
        <v>16.055999999999997</v>
      </c>
      <c r="K28" s="25">
        <f>Modèles!D50</f>
        <v>6.135999999999999</v>
      </c>
      <c r="L28" s="11">
        <f t="shared" si="4"/>
        <v>17.188531990836214</v>
      </c>
      <c r="M28">
        <f t="shared" si="5"/>
        <v>-0.07863929727593516</v>
      </c>
      <c r="N28" s="4">
        <f t="shared" si="6"/>
        <v>10.290439999999982</v>
      </c>
      <c r="Q28">
        <f t="shared" si="8"/>
        <v>13.200000000000006</v>
      </c>
      <c r="R28">
        <f t="shared" si="0"/>
        <v>6.998999899979999</v>
      </c>
      <c r="S28">
        <f t="shared" si="1"/>
        <v>-2.9989998999799994</v>
      </c>
    </row>
    <row r="29" spans="3:19" ht="12.75">
      <c r="C29" s="22">
        <v>10000</v>
      </c>
      <c r="D29" s="23">
        <v>10000</v>
      </c>
      <c r="F29" s="105"/>
      <c r="G29" s="22">
        <v>13</v>
      </c>
      <c r="H29" s="104">
        <f t="shared" si="2"/>
        <v>19.099333333333334</v>
      </c>
      <c r="I29" s="112">
        <f t="shared" si="3"/>
        <v>5.266</v>
      </c>
      <c r="J29" s="38">
        <f>Modèles!D19</f>
        <v>19.099333333333334</v>
      </c>
      <c r="K29" s="25">
        <f>Modèles!D51</f>
        <v>5.265999999999998</v>
      </c>
      <c r="L29" s="11">
        <f t="shared" si="4"/>
        <v>19.81199863158126</v>
      </c>
      <c r="M29">
        <f t="shared" si="5"/>
        <v>-0.0960030805123473</v>
      </c>
      <c r="N29" s="4">
        <f t="shared" si="6"/>
        <v>16.321306666666672</v>
      </c>
      <c r="Q29">
        <f t="shared" si="8"/>
        <v>13.550000000000006</v>
      </c>
      <c r="R29">
        <f t="shared" si="0"/>
        <v>7.319539453749736</v>
      </c>
      <c r="S29">
        <f t="shared" si="1"/>
        <v>-3.3195394537497362</v>
      </c>
    </row>
    <row r="30" spans="3:19" ht="12.75">
      <c r="C30" s="22">
        <v>10000</v>
      </c>
      <c r="D30" s="23">
        <v>10000</v>
      </c>
      <c r="F30" s="105"/>
      <c r="G30" s="22">
        <v>14</v>
      </c>
      <c r="H30" s="104">
        <f t="shared" si="2"/>
        <v>21.896</v>
      </c>
      <c r="I30" s="112">
        <f t="shared" si="3"/>
        <v>3.976000000000001</v>
      </c>
      <c r="J30" s="38">
        <f>Modèles!D20</f>
        <v>21.896</v>
      </c>
      <c r="K30" s="25">
        <f>Modèles!D52</f>
        <v>3.975999999999999</v>
      </c>
      <c r="L30" s="11">
        <f t="shared" si="4"/>
        <v>22.254064617503023</v>
      </c>
      <c r="M30">
        <f t="shared" si="5"/>
        <v>-0.08940372135097022</v>
      </c>
      <c r="N30" s="4">
        <f t="shared" si="6"/>
        <v>19.682693333333333</v>
      </c>
      <c r="Q30">
        <f t="shared" si="8"/>
        <v>13.900000000000006</v>
      </c>
      <c r="R30">
        <f t="shared" si="0"/>
        <v>7.600000000000003</v>
      </c>
      <c r="S30">
        <f t="shared" si="1"/>
        <v>-3.600000000000003</v>
      </c>
    </row>
    <row r="31" spans="3:19" ht="12.75">
      <c r="C31" s="22">
        <v>10000</v>
      </c>
      <c r="D31" s="23">
        <v>10000</v>
      </c>
      <c r="F31" s="105"/>
      <c r="G31" s="110">
        <v>15</v>
      </c>
      <c r="H31" s="104">
        <f t="shared" si="2"/>
        <v>24.138000000000005</v>
      </c>
      <c r="I31" s="112">
        <f t="shared" si="3"/>
        <v>2.356</v>
      </c>
      <c r="J31" s="38">
        <f>Modèles!D21</f>
        <v>24.138000000000005</v>
      </c>
      <c r="K31" s="25">
        <f>Modèles!D53</f>
        <v>2.355999999999998</v>
      </c>
      <c r="L31" s="11">
        <f t="shared" si="4"/>
        <v>24.25270665307277</v>
      </c>
      <c r="M31">
        <f t="shared" si="5"/>
        <v>-0.08233118796685433</v>
      </c>
      <c r="N31" s="4">
        <f t="shared" si="6"/>
        <v>22.19285600000002</v>
      </c>
      <c r="Q31">
        <f t="shared" si="8"/>
        <v>14.250000000000005</v>
      </c>
      <c r="R31">
        <f t="shared" si="0"/>
        <v>7.846152580971526</v>
      </c>
      <c r="S31">
        <f t="shared" si="1"/>
        <v>-3.846152580971526</v>
      </c>
    </row>
    <row r="32" spans="3:19" ht="12.75">
      <c r="C32" s="22">
        <v>10000</v>
      </c>
      <c r="D32" s="23">
        <v>10000</v>
      </c>
      <c r="F32" s="105"/>
      <c r="G32" s="110">
        <v>16</v>
      </c>
      <c r="H32" s="104">
        <f t="shared" si="2"/>
        <v>25.476</v>
      </c>
      <c r="I32" s="112">
        <f t="shared" si="3"/>
        <v>0.5620000000000003</v>
      </c>
      <c r="J32" s="38">
        <f>Modèles!D22</f>
        <v>25.476</v>
      </c>
      <c r="K32" s="25">
        <f>Modèles!D54</f>
        <v>0.5619999999999994</v>
      </c>
      <c r="L32" s="26">
        <f t="shared" si="4"/>
        <v>25.48219809985002</v>
      </c>
      <c r="M32" s="24">
        <f t="shared" si="5"/>
        <v>-0.07524083805954176</v>
      </c>
      <c r="N32" s="4">
        <f t="shared" si="6"/>
        <v>23.22794999999999</v>
      </c>
      <c r="Q32">
        <f t="shared" si="8"/>
        <v>14.600000000000005</v>
      </c>
      <c r="R32">
        <f t="shared" si="0"/>
        <v>8.062177826491073</v>
      </c>
      <c r="S32">
        <f t="shared" si="1"/>
        <v>-4.062177826491073</v>
      </c>
    </row>
    <row r="33" spans="3:19" ht="12.75">
      <c r="C33" s="22">
        <v>10000</v>
      </c>
      <c r="D33" s="23">
        <v>10000</v>
      </c>
      <c r="F33" s="105"/>
      <c r="G33" s="22">
        <v>17</v>
      </c>
      <c r="H33" s="104">
        <f t="shared" si="2"/>
        <v>25.915999999999997</v>
      </c>
      <c r="I33" s="112">
        <f t="shared" si="3"/>
        <v>-1.2306666666666661</v>
      </c>
      <c r="J33" s="38">
        <f>Modèles!D23</f>
        <v>25.915999999999997</v>
      </c>
      <c r="K33" s="25">
        <f>Modèles!D55</f>
        <v>-1.230666666666668</v>
      </c>
      <c r="L33" s="26">
        <f t="shared" si="4"/>
        <v>25.9452037271717</v>
      </c>
      <c r="M33" s="24">
        <f t="shared" si="5"/>
        <v>-0.06950750683212756</v>
      </c>
      <c r="N33" s="4">
        <f t="shared" si="6"/>
        <v>22.958627999999997</v>
      </c>
      <c r="Q33">
        <f>Q32+RCercle/5</f>
        <v>16.000000000000004</v>
      </c>
      <c r="R33">
        <f t="shared" si="0"/>
        <v>8.67757440991862</v>
      </c>
      <c r="S33">
        <f t="shared" si="1"/>
        <v>-4.67757440991862</v>
      </c>
    </row>
    <row r="34" spans="3:19" ht="12.75">
      <c r="C34" s="22">
        <v>10000</v>
      </c>
      <c r="D34" s="23">
        <v>10000</v>
      </c>
      <c r="F34" s="105"/>
      <c r="G34" s="22">
        <v>18</v>
      </c>
      <c r="H34" s="104">
        <f t="shared" si="2"/>
        <v>25.406</v>
      </c>
      <c r="I34" s="112">
        <f t="shared" si="3"/>
        <v>-2.6499999999999986</v>
      </c>
      <c r="J34" s="38">
        <f>Modèles!D24</f>
        <v>25.406</v>
      </c>
      <c r="K34" s="25">
        <f>Modèles!D56</f>
        <v>-2.65</v>
      </c>
      <c r="L34" s="11">
        <f t="shared" si="4"/>
        <v>25.54383166245816</v>
      </c>
      <c r="M34">
        <f t="shared" si="5"/>
        <v>-0.05647913864981712</v>
      </c>
      <c r="N34" s="4">
        <f t="shared" si="6"/>
        <v>18.705541333333322</v>
      </c>
      <c r="Q34">
        <f>Q33+RCercle/5</f>
        <v>17.400000000000002</v>
      </c>
      <c r="R34">
        <f t="shared" si="0"/>
        <v>8.96491205974634</v>
      </c>
      <c r="S34">
        <f t="shared" si="1"/>
        <v>-4.964912059746339</v>
      </c>
    </row>
    <row r="35" spans="3:19" ht="12.75">
      <c r="C35" s="22">
        <v>10000</v>
      </c>
      <c r="D35" s="23">
        <v>10000</v>
      </c>
      <c r="F35" s="105"/>
      <c r="G35" s="22">
        <v>19</v>
      </c>
      <c r="H35" s="104">
        <f t="shared" si="2"/>
        <v>23.75933333333333</v>
      </c>
      <c r="I35" s="112">
        <f t="shared" si="3"/>
        <v>-4.363999999999999</v>
      </c>
      <c r="J35" s="38">
        <f>Modèles!D25</f>
        <v>23.75933333333333</v>
      </c>
      <c r="K35" s="25">
        <f>Modèles!D57</f>
        <v>-4.364000000000001</v>
      </c>
      <c r="L35" s="11">
        <f t="shared" si="4"/>
        <v>24.156788206308477</v>
      </c>
      <c r="M35">
        <f t="shared" si="5"/>
        <v>-0.07772024698188325</v>
      </c>
      <c r="N35" s="4">
        <f t="shared" si="6"/>
        <v>23.954775333333345</v>
      </c>
      <c r="Q35">
        <f>Q34+RCercle/5</f>
        <v>18.8</v>
      </c>
      <c r="R35">
        <f t="shared" si="0"/>
        <v>8.96491205974634</v>
      </c>
      <c r="S35">
        <f t="shared" si="1"/>
        <v>-4.964912059746339</v>
      </c>
    </row>
    <row r="36" spans="3:19" ht="12.75">
      <c r="C36" s="22">
        <v>10000</v>
      </c>
      <c r="D36" s="23">
        <v>10000</v>
      </c>
      <c r="F36" s="105"/>
      <c r="G36" s="22">
        <v>20</v>
      </c>
      <c r="H36" s="104">
        <f t="shared" si="2"/>
        <v>20.136000000000003</v>
      </c>
      <c r="I36" s="112">
        <f t="shared" si="3"/>
        <v>-6.387333333333332</v>
      </c>
      <c r="J36" s="38">
        <f>Modèles!D26</f>
        <v>20.136000000000003</v>
      </c>
      <c r="K36" s="25">
        <f>Modèles!D58</f>
        <v>-6.387333333333334</v>
      </c>
      <c r="L36" s="11">
        <f t="shared" si="4"/>
        <v>21.124784569578722</v>
      </c>
      <c r="M36">
        <f t="shared" si="5"/>
        <v>-0.12551923892224223</v>
      </c>
      <c r="N36" s="4">
        <f t="shared" si="6"/>
        <v>31.94263888888888</v>
      </c>
      <c r="Q36">
        <f>Q35+RCercle/5</f>
        <v>20.2</v>
      </c>
      <c r="R36">
        <f t="shared" si="0"/>
        <v>8.67757440991862</v>
      </c>
      <c r="S36">
        <f t="shared" si="1"/>
        <v>-4.67757440991862</v>
      </c>
    </row>
    <row r="37" spans="3:19" ht="12.75">
      <c r="C37" s="22">
        <v>10000</v>
      </c>
      <c r="D37" s="23">
        <v>10000</v>
      </c>
      <c r="F37" s="105"/>
      <c r="G37" s="22">
        <v>21</v>
      </c>
      <c r="H37" s="104">
        <f t="shared" si="2"/>
        <v>15.492666666666667</v>
      </c>
      <c r="I37" s="112">
        <f t="shared" si="3"/>
        <v>-7.290666666666668</v>
      </c>
      <c r="J37" s="38">
        <f>Modèles!D27</f>
        <v>15.492666666666665</v>
      </c>
      <c r="K37" s="25">
        <f>Modèles!D59</f>
        <v>-7.290666666666668</v>
      </c>
      <c r="L37" s="11">
        <f t="shared" si="4"/>
        <v>17.122398806501643</v>
      </c>
      <c r="M37">
        <f t="shared" si="5"/>
        <v>-0.1326728520507755</v>
      </c>
      <c r="N37" s="4">
        <f t="shared" si="6"/>
        <v>23.924018888888913</v>
      </c>
      <c r="Q37">
        <f>Q36+RCercle/20</f>
        <v>20.55</v>
      </c>
      <c r="R37">
        <f t="shared" si="0"/>
        <v>8.55724789831832</v>
      </c>
      <c r="S37">
        <f t="shared" si="1"/>
        <v>-4.55724789831832</v>
      </c>
    </row>
    <row r="38" spans="3:19" ht="12.75">
      <c r="C38" s="22">
        <v>10000</v>
      </c>
      <c r="D38" s="23">
        <v>10000</v>
      </c>
      <c r="F38" s="105"/>
      <c r="G38" s="22">
        <v>22</v>
      </c>
      <c r="H38" s="104">
        <f t="shared" si="2"/>
        <v>12.556</v>
      </c>
      <c r="I38" s="112">
        <f t="shared" si="3"/>
        <v>-7.407333333333332</v>
      </c>
      <c r="J38" s="38">
        <f>Modèles!D28</f>
        <v>12.555999999999997</v>
      </c>
      <c r="K38" s="25">
        <f>Modèles!D60</f>
        <v>-7.407333333333334</v>
      </c>
      <c r="L38" s="11">
        <f t="shared" si="4"/>
        <v>14.578124814636178</v>
      </c>
      <c r="M38">
        <f t="shared" si="5"/>
        <v>-0.09314977780320083</v>
      </c>
      <c r="N38" s="4">
        <f t="shared" si="6"/>
        <v>11.608867777777766</v>
      </c>
      <c r="Q38">
        <f aca="true" t="shared" si="9" ref="Q38:Q48">Q37+RCercle/20</f>
        <v>20.900000000000002</v>
      </c>
      <c r="R38">
        <f t="shared" si="0"/>
        <v>8.415605972938176</v>
      </c>
      <c r="S38">
        <f t="shared" si="1"/>
        <v>-4.415605972938176</v>
      </c>
    </row>
    <row r="39" spans="3:19" ht="12.75">
      <c r="C39" s="22">
        <v>10000</v>
      </c>
      <c r="D39" s="23">
        <v>10000</v>
      </c>
      <c r="F39" s="105"/>
      <c r="G39" s="22">
        <v>23</v>
      </c>
      <c r="H39" s="104">
        <f t="shared" si="2"/>
        <v>9.856000000000003</v>
      </c>
      <c r="I39" s="112">
        <f t="shared" si="3"/>
        <v>-7.113999999999999</v>
      </c>
      <c r="J39" s="38">
        <f>Modèles!D29</f>
        <v>9.856000000000002</v>
      </c>
      <c r="K39" s="25">
        <f>Modèles!D61</f>
        <v>-7.114000000000001</v>
      </c>
      <c r="L39" s="11">
        <f t="shared" si="4"/>
        <v>12.155234757091286</v>
      </c>
      <c r="M39">
        <f t="shared" si="5"/>
        <v>-0.09221108342187323</v>
      </c>
      <c r="N39" s="4">
        <f t="shared" si="6"/>
        <v>8.158353333333311</v>
      </c>
      <c r="Q39">
        <f t="shared" si="9"/>
        <v>21.250000000000004</v>
      </c>
      <c r="R39">
        <f t="shared" si="0"/>
        <v>8.251199884822112</v>
      </c>
      <c r="S39">
        <f t="shared" si="1"/>
        <v>-4.251199884822112</v>
      </c>
    </row>
    <row r="40" spans="3:19" ht="12.75">
      <c r="C40" s="22">
        <v>10000</v>
      </c>
      <c r="D40" s="23">
        <v>10000</v>
      </c>
      <c r="F40" s="105"/>
      <c r="G40" s="22">
        <v>24</v>
      </c>
      <c r="H40" s="104">
        <f t="shared" si="2"/>
        <v>6.056000000000003</v>
      </c>
      <c r="I40" s="112">
        <f t="shared" si="3"/>
        <v>-6.394</v>
      </c>
      <c r="J40" s="38">
        <f>Modèles!D30</f>
        <v>6.056000000000001</v>
      </c>
      <c r="K40" s="25">
        <f>Modèles!D62</f>
        <v>-6.394000000000002</v>
      </c>
      <c r="L40" s="11">
        <f t="shared" si="4"/>
        <v>8.806723113621777</v>
      </c>
      <c r="M40">
        <f t="shared" si="5"/>
        <v>-0.18733664675965778</v>
      </c>
      <c r="N40" s="4">
        <f t="shared" si="6"/>
        <v>9.96844000000001</v>
      </c>
      <c r="Q40">
        <f t="shared" si="9"/>
        <v>21.600000000000005</v>
      </c>
      <c r="R40">
        <f t="shared" si="0"/>
        <v>8.06217782649107</v>
      </c>
      <c r="S40">
        <f t="shared" si="1"/>
        <v>-4.0621778264910695</v>
      </c>
    </row>
    <row r="41" spans="3:19" ht="12.75">
      <c r="C41" s="22">
        <v>10000</v>
      </c>
      <c r="D41" s="23">
        <v>10000</v>
      </c>
      <c r="F41" s="105"/>
      <c r="G41" s="22">
        <v>25</v>
      </c>
      <c r="H41" s="104">
        <f t="shared" si="2"/>
        <v>3.0226666666666677</v>
      </c>
      <c r="I41" s="112">
        <f t="shared" si="3"/>
        <v>-5.730666666666666</v>
      </c>
      <c r="J41" s="38">
        <f>Modèles!D31</f>
        <v>3.022666666666666</v>
      </c>
      <c r="K41" s="25">
        <f>Modèles!D63</f>
        <v>-5.730666666666668</v>
      </c>
      <c r="L41" s="11">
        <f aca="true" t="shared" si="10" ref="L41:L47">SQRT(H41^2+I41^2)</f>
        <v>6.478970151360648</v>
      </c>
      <c r="M41">
        <f aca="true" t="shared" si="11" ref="M41:M47">ATAN(I41/H41)-ATAN(I40/H40)</f>
        <v>-0.2728869220000727</v>
      </c>
      <c r="N41" s="4">
        <f aca="true" t="shared" si="12" ref="N41:N47">-0.5*L41*L40*SIN(M41)</f>
        <v>7.688993333333336</v>
      </c>
      <c r="Q41">
        <f t="shared" si="9"/>
        <v>21.950000000000006</v>
      </c>
      <c r="R41">
        <f t="shared" si="0"/>
        <v>7.84615258097152</v>
      </c>
      <c r="S41">
        <f t="shared" si="1"/>
        <v>-3.84615258097152</v>
      </c>
    </row>
    <row r="42" spans="3:19" ht="12.75">
      <c r="C42" s="22">
        <v>10000</v>
      </c>
      <c r="D42" s="23">
        <v>10000</v>
      </c>
      <c r="F42" s="105"/>
      <c r="G42" s="22">
        <v>26</v>
      </c>
      <c r="H42" s="104">
        <f t="shared" si="2"/>
        <v>1.9793333333333347</v>
      </c>
      <c r="I42" s="112">
        <f t="shared" si="3"/>
        <v>-6.160666666666666</v>
      </c>
      <c r="J42" s="38">
        <f>Modèles!D32</f>
        <v>1.979333333333333</v>
      </c>
      <c r="K42" s="25">
        <f>Modèles!D64</f>
        <v>-6.160666666666668</v>
      </c>
      <c r="L42" s="11">
        <f t="shared" si="10"/>
        <v>6.470824848674411</v>
      </c>
      <c r="M42">
        <f t="shared" si="11"/>
        <v>-0.17450064465936532</v>
      </c>
      <c r="N42" s="4">
        <f t="shared" si="12"/>
        <v>3.63937111111111</v>
      </c>
      <c r="Q42">
        <f>Q41+RCercle/20</f>
        <v>22.300000000000008</v>
      </c>
      <c r="R42">
        <f t="shared" si="0"/>
        <v>7.599999999999995</v>
      </c>
      <c r="S42">
        <f t="shared" si="1"/>
        <v>-3.599999999999995</v>
      </c>
    </row>
    <row r="43" spans="3:19" ht="12.75">
      <c r="C43" s="22">
        <v>10000</v>
      </c>
      <c r="D43" s="23">
        <v>10000</v>
      </c>
      <c r="F43" s="105"/>
      <c r="G43" s="22">
        <v>27</v>
      </c>
      <c r="H43" s="104">
        <f t="shared" si="2"/>
        <v>1.5126666666666697</v>
      </c>
      <c r="I43" s="112">
        <f t="shared" si="3"/>
        <v>-5.757333333333333</v>
      </c>
      <c r="J43" s="38">
        <f>Modèles!D33</f>
        <v>1.512666666666668</v>
      </c>
      <c r="K43" s="25">
        <f>Modèles!D65</f>
        <v>-5.757333333333335</v>
      </c>
      <c r="L43" s="11">
        <f t="shared" si="10"/>
        <v>5.95273446035984</v>
      </c>
      <c r="M43">
        <f t="shared" si="11"/>
        <v>-0.053938275858305795</v>
      </c>
      <c r="N43" s="4">
        <f t="shared" si="12"/>
        <v>1.0383233333333286</v>
      </c>
      <c r="Q43">
        <f t="shared" si="9"/>
        <v>22.65000000000001</v>
      </c>
      <c r="R43">
        <f t="shared" si="0"/>
        <v>7.319539453749726</v>
      </c>
      <c r="S43">
        <f t="shared" si="1"/>
        <v>-3.3195394537497256</v>
      </c>
    </row>
    <row r="44" spans="3:19" ht="12.75">
      <c r="C44" s="22">
        <v>10000</v>
      </c>
      <c r="D44" s="23">
        <v>10000</v>
      </c>
      <c r="F44" s="105"/>
      <c r="G44" s="22">
        <v>28</v>
      </c>
      <c r="H44" s="104">
        <f t="shared" si="2"/>
        <v>2.3226666666666684</v>
      </c>
      <c r="I44" s="112">
        <f t="shared" si="3"/>
        <v>-4.347333333333333</v>
      </c>
      <c r="J44" s="38">
        <f>Modèles!D34</f>
        <v>2.3226666666666667</v>
      </c>
      <c r="K44" s="25">
        <f>Modèles!D66</f>
        <v>-4.347333333333335</v>
      </c>
      <c r="L44" s="11">
        <f t="shared" si="10"/>
        <v>4.9289032812133335</v>
      </c>
      <c r="M44">
        <f t="shared" si="11"/>
        <v>0.2337589097004258</v>
      </c>
      <c r="N44" s="4">
        <f t="shared" si="12"/>
        <v>-3.3981499999999993</v>
      </c>
      <c r="Q44">
        <f t="shared" si="9"/>
        <v>23.00000000000001</v>
      </c>
      <c r="R44">
        <f t="shared" si="0"/>
        <v>6.998999899979986</v>
      </c>
      <c r="S44">
        <f t="shared" si="1"/>
        <v>-2.998999899979986</v>
      </c>
    </row>
    <row r="45" spans="3:19" ht="12.75">
      <c r="C45" s="22">
        <v>10000</v>
      </c>
      <c r="D45" s="23">
        <v>10000</v>
      </c>
      <c r="F45" s="105"/>
      <c r="G45" s="22">
        <v>29</v>
      </c>
      <c r="H45" s="104">
        <f t="shared" si="2"/>
        <v>2.92266666666667</v>
      </c>
      <c r="I45" s="112">
        <f t="shared" si="3"/>
        <v>-3.040666666666665</v>
      </c>
      <c r="J45" s="38">
        <f>Modèles!D35</f>
        <v>2.922666666666668</v>
      </c>
      <c r="K45" s="25">
        <f>Modèles!D67</f>
        <v>-3.0406666666666666</v>
      </c>
      <c r="L45" s="11">
        <f t="shared" si="10"/>
        <v>4.217538882123344</v>
      </c>
      <c r="M45">
        <f t="shared" si="11"/>
        <v>0.2749238513830704</v>
      </c>
      <c r="N45" s="4">
        <f t="shared" si="12"/>
        <v>-2.821675555555562</v>
      </c>
      <c r="Q45">
        <f t="shared" si="9"/>
        <v>23.350000000000012</v>
      </c>
      <c r="R45">
        <f t="shared" si="0"/>
        <v>6.6300647943630215</v>
      </c>
      <c r="S45">
        <f t="shared" si="1"/>
        <v>-2.6300647943630215</v>
      </c>
    </row>
    <row r="46" spans="3:19" ht="13.5" thickBot="1">
      <c r="C46" s="22">
        <v>10000</v>
      </c>
      <c r="D46" s="23">
        <v>10000</v>
      </c>
      <c r="F46" s="105"/>
      <c r="G46" s="22">
        <v>30</v>
      </c>
      <c r="H46" s="104">
        <f t="shared" si="2"/>
        <v>3.382666666666667</v>
      </c>
      <c r="I46" s="113">
        <f t="shared" si="3"/>
        <v>-1.8673333333333328</v>
      </c>
      <c r="J46" s="38">
        <f>Modèles!D36</f>
        <v>3.3826666666666654</v>
      </c>
      <c r="K46" s="25">
        <f>Modèles!D68</f>
        <v>-1.8673333333333337</v>
      </c>
      <c r="L46" s="11">
        <f t="shared" si="10"/>
        <v>3.863853976997003</v>
      </c>
      <c r="M46">
        <f t="shared" si="11"/>
        <v>0.30078278936395564</v>
      </c>
      <c r="N46" s="4">
        <f t="shared" si="12"/>
        <v>-2.4139844444444396</v>
      </c>
      <c r="Q46">
        <f>Q45+RCercle/20</f>
        <v>23.700000000000014</v>
      </c>
      <c r="R46">
        <f t="shared" si="0"/>
        <v>6.199999999999984</v>
      </c>
      <c r="S46">
        <f t="shared" si="1"/>
        <v>-2.199999999999984</v>
      </c>
    </row>
    <row r="47" spans="3:19" ht="13.5" thickBot="1">
      <c r="C47" s="22">
        <v>10000</v>
      </c>
      <c r="D47" s="23">
        <v>10000</v>
      </c>
      <c r="F47" s="105"/>
      <c r="G47" s="9">
        <v>31</v>
      </c>
      <c r="H47" s="115">
        <f>H17</f>
        <v>3.4906666666666677</v>
      </c>
      <c r="I47" s="113">
        <f>I17</f>
        <v>-0.4793333333333347</v>
      </c>
      <c r="J47" s="39">
        <f>Modèles!D37</f>
        <v>3.490666666666666</v>
      </c>
      <c r="K47" s="34">
        <f>Modèles!D69</f>
        <v>-0.4793333333333347</v>
      </c>
      <c r="L47" s="11">
        <f t="shared" si="10"/>
        <v>3.5234236506872447</v>
      </c>
      <c r="M47">
        <f t="shared" si="11"/>
        <v>0.36793529432065203</v>
      </c>
      <c r="N47" s="4">
        <f t="shared" si="12"/>
        <v>-2.448406666666664</v>
      </c>
      <c r="Q47">
        <f t="shared" si="9"/>
        <v>24.050000000000015</v>
      </c>
      <c r="R47">
        <f t="shared" si="0"/>
        <v>5.687478813498437</v>
      </c>
      <c r="S47">
        <f t="shared" si="1"/>
        <v>-1.687478813498437</v>
      </c>
    </row>
    <row r="48" spans="3:19" ht="13.5" thickBot="1">
      <c r="C48" s="22">
        <v>10000</v>
      </c>
      <c r="D48" s="23">
        <v>10000</v>
      </c>
      <c r="N48" s="12">
        <f>SUM(N18:N47)</f>
        <v>268.02966444444445</v>
      </c>
      <c r="Q48">
        <f t="shared" si="9"/>
        <v>24.400000000000016</v>
      </c>
      <c r="R48">
        <f t="shared" si="0"/>
        <v>5.05122926047844</v>
      </c>
      <c r="S48">
        <f t="shared" si="1"/>
        <v>-1.05122926047844</v>
      </c>
    </row>
    <row r="49" spans="3:19" ht="12.75">
      <c r="C49" s="22">
        <v>10000</v>
      </c>
      <c r="D49" s="23">
        <v>10000</v>
      </c>
      <c r="E49" s="38"/>
      <c r="F49" s="38"/>
      <c r="G49" s="38"/>
      <c r="H49" s="38"/>
      <c r="Q49">
        <f>Q48+RCercle/50</f>
        <v>24.540000000000017</v>
      </c>
      <c r="R49">
        <f t="shared" si="0"/>
        <v>4.743428511917124</v>
      </c>
      <c r="S49">
        <f t="shared" si="1"/>
        <v>-0.7434285119171236</v>
      </c>
    </row>
    <row r="50" spans="3:19" ht="12.75">
      <c r="C50" s="22">
        <v>10000</v>
      </c>
      <c r="D50" s="23">
        <v>10000</v>
      </c>
      <c r="E50" s="38"/>
      <c r="F50" s="38"/>
      <c r="G50" s="38"/>
      <c r="H50" s="38"/>
      <c r="Q50">
        <f>Q49+RCercle/50</f>
        <v>24.680000000000017</v>
      </c>
      <c r="R50">
        <f t="shared" si="0"/>
        <v>4.388221095292433</v>
      </c>
      <c r="S50">
        <f t="shared" si="1"/>
        <v>-0.3882210952924332</v>
      </c>
    </row>
    <row r="51" spans="3:19" ht="13.5" thickBot="1">
      <c r="C51" s="9">
        <v>10000</v>
      </c>
      <c r="D51" s="20">
        <v>10000</v>
      </c>
      <c r="E51" s="38"/>
      <c r="F51" s="38"/>
      <c r="G51" s="38"/>
      <c r="H51" s="38"/>
      <c r="Q51">
        <f>Q50+RCercle/50</f>
        <v>24.820000000000018</v>
      </c>
      <c r="R51">
        <f t="shared" si="0"/>
        <v>3.959999999999944</v>
      </c>
      <c r="S51">
        <f t="shared" si="1"/>
        <v>0.04000000000005599</v>
      </c>
    </row>
    <row r="52" spans="3:19" ht="12.75">
      <c r="C52" s="41"/>
      <c r="D52" s="41"/>
      <c r="E52" s="38"/>
      <c r="F52" s="38"/>
      <c r="G52" s="38"/>
      <c r="H52" s="38"/>
      <c r="Q52">
        <f>Q51+RCercle/50</f>
        <v>24.96000000000002</v>
      </c>
      <c r="R52">
        <f t="shared" si="0"/>
        <v>3.3929824119491827</v>
      </c>
      <c r="S52">
        <f t="shared" si="1"/>
        <v>0.6070175880508173</v>
      </c>
    </row>
    <row r="53" spans="3:19" ht="12.75">
      <c r="C53" s="38"/>
      <c r="D53" s="38"/>
      <c r="E53" s="38"/>
      <c r="F53" s="38"/>
      <c r="G53" s="38"/>
      <c r="H53" s="38"/>
      <c r="Q53">
        <f>Q52+RCercle/50</f>
        <v>25.10000000000002</v>
      </c>
      <c r="R53">
        <f>R16</f>
        <v>2</v>
      </c>
      <c r="S53">
        <f t="shared" si="1"/>
        <v>2</v>
      </c>
    </row>
    <row r="54" spans="3:8" ht="12.75">
      <c r="C54" s="38"/>
      <c r="D54" s="38"/>
      <c r="E54" s="38"/>
      <c r="F54" s="38"/>
      <c r="G54" s="38"/>
      <c r="H54" s="38"/>
    </row>
    <row r="55" spans="3:8" ht="12.75">
      <c r="C55" s="38"/>
      <c r="D55" s="38"/>
      <c r="E55" s="38"/>
      <c r="F55" s="38"/>
      <c r="G55" s="38"/>
      <c r="H55" s="38"/>
    </row>
    <row r="56" spans="3:8" ht="12.75">
      <c r="C56" s="38"/>
      <c r="D56" s="38"/>
      <c r="E56" s="38"/>
      <c r="F56" s="38"/>
      <c r="G56" s="38"/>
      <c r="H56" s="38"/>
    </row>
    <row r="57" spans="3:8" ht="12.75">
      <c r="C57" s="38"/>
      <c r="D57" s="38"/>
      <c r="E57" s="38"/>
      <c r="F57" s="38"/>
      <c r="G57" s="38"/>
      <c r="H57" s="38"/>
    </row>
    <row r="58" spans="3:8" ht="12.75">
      <c r="C58" s="38"/>
      <c r="D58" s="38"/>
      <c r="E58" s="38"/>
      <c r="F58" s="38"/>
      <c r="G58" s="38"/>
      <c r="H58" s="38"/>
    </row>
    <row r="59" spans="3:8" ht="12.75">
      <c r="C59" s="38"/>
      <c r="D59" s="38"/>
      <c r="E59" s="38"/>
      <c r="F59" s="38"/>
      <c r="G59" s="38"/>
      <c r="H59" s="38"/>
    </row>
    <row r="60" spans="3:8" ht="12.75">
      <c r="C60" s="38"/>
      <c r="D60" s="38"/>
      <c r="E60" s="38"/>
      <c r="F60" s="38"/>
      <c r="G60" s="38"/>
      <c r="H60" s="38"/>
    </row>
    <row r="61" spans="3:8" ht="12.75">
      <c r="C61" s="38"/>
      <c r="D61" s="38"/>
      <c r="E61" s="38"/>
      <c r="F61" s="38"/>
      <c r="G61" s="38"/>
      <c r="H61" s="38"/>
    </row>
    <row r="62" spans="3:8" ht="12.75">
      <c r="C62" s="38"/>
      <c r="D62" s="38"/>
      <c r="E62" s="38"/>
      <c r="F62" s="38"/>
      <c r="G62" s="38"/>
      <c r="H62" s="38"/>
    </row>
    <row r="63" spans="3:8" ht="12.75">
      <c r="C63" s="38"/>
      <c r="D63" s="38"/>
      <c r="E63" s="38"/>
      <c r="F63" s="38"/>
      <c r="G63" s="38"/>
      <c r="H63" s="38"/>
    </row>
    <row r="64" spans="3:8" ht="12.75">
      <c r="C64" s="38"/>
      <c r="D64" s="38"/>
      <c r="E64" s="38"/>
      <c r="F64" s="38"/>
      <c r="G64" s="38"/>
      <c r="H64" s="38"/>
    </row>
    <row r="65" spans="3:8" ht="12.75">
      <c r="C65" s="38"/>
      <c r="D65" s="38"/>
      <c r="E65" s="38"/>
      <c r="F65" s="38"/>
      <c r="G65" s="38"/>
      <c r="H65" s="38"/>
    </row>
    <row r="66" spans="3:8" ht="12.75">
      <c r="C66" s="38"/>
      <c r="D66" s="38"/>
      <c r="E66" s="38"/>
      <c r="F66" s="38"/>
      <c r="G66" s="38"/>
      <c r="H66" s="38"/>
    </row>
    <row r="67" spans="3:8" ht="12.75">
      <c r="C67" s="38"/>
      <c r="D67" s="38"/>
      <c r="E67" s="38"/>
      <c r="F67" s="38"/>
      <c r="G67" s="38"/>
      <c r="H67" s="38"/>
    </row>
    <row r="68" spans="3:8" ht="12.75">
      <c r="C68" s="38"/>
      <c r="D68" s="38"/>
      <c r="E68" s="38"/>
      <c r="F68" s="38"/>
      <c r="G68" s="38"/>
      <c r="H68" s="38"/>
    </row>
    <row r="69" spans="3:8" ht="12.75">
      <c r="C69" s="38"/>
      <c r="D69" s="38"/>
      <c r="E69" s="38"/>
      <c r="F69" s="38"/>
      <c r="G69" s="38"/>
      <c r="H69" s="38"/>
    </row>
    <row r="70" spans="3:8" ht="12.75">
      <c r="C70" s="38"/>
      <c r="D70" s="38"/>
      <c r="E70" s="38"/>
      <c r="F70" s="38"/>
      <c r="G70" s="38"/>
      <c r="H70" s="38"/>
    </row>
    <row r="71" spans="3:8" ht="12.75">
      <c r="C71" s="38"/>
      <c r="D71" s="38"/>
      <c r="E71" s="38"/>
      <c r="F71" s="38"/>
      <c r="G71" s="38"/>
      <c r="H71" s="38"/>
    </row>
    <row r="72" spans="3:8" ht="12.75">
      <c r="C72" s="38"/>
      <c r="D72" s="38"/>
      <c r="E72" s="38"/>
      <c r="F72" s="38"/>
      <c r="G72" s="38"/>
      <c r="H72" s="38"/>
    </row>
    <row r="73" spans="3:8" ht="12.75">
      <c r="C73" s="38"/>
      <c r="D73" s="38"/>
      <c r="E73" s="38"/>
      <c r="F73" s="38"/>
      <c r="G73" s="38"/>
      <c r="H73" s="38"/>
    </row>
    <row r="74" spans="3:8" ht="12.75">
      <c r="C74" s="38"/>
      <c r="D74" s="38"/>
      <c r="E74" s="38"/>
      <c r="F74" s="38"/>
      <c r="G74" s="38"/>
      <c r="H74" s="38"/>
    </row>
    <row r="75" spans="3:8" ht="12.75">
      <c r="C75" s="38"/>
      <c r="D75" s="38"/>
      <c r="E75" s="38"/>
      <c r="F75" s="38"/>
      <c r="G75" s="38"/>
      <c r="H75" s="38"/>
    </row>
    <row r="76" spans="3:8" ht="12.75">
      <c r="C76" s="38"/>
      <c r="D76" s="38"/>
      <c r="E76" s="38"/>
      <c r="F76" s="38"/>
      <c r="G76" s="38"/>
      <c r="H76" s="38"/>
    </row>
    <row r="77" spans="3:8" ht="12.75">
      <c r="C77" s="38"/>
      <c r="D77" s="38"/>
      <c r="E77" s="38"/>
      <c r="F77" s="38"/>
      <c r="G77" s="38"/>
      <c r="H77" s="38"/>
    </row>
    <row r="78" spans="3:8" ht="12.75">
      <c r="C78" s="38"/>
      <c r="D78" s="38"/>
      <c r="E78" s="38"/>
      <c r="F78" s="38"/>
      <c r="G78" s="38"/>
      <c r="H78" s="38"/>
    </row>
    <row r="79" spans="3:8" ht="12.75">
      <c r="C79" s="38"/>
      <c r="D79" s="38"/>
      <c r="E79" s="38"/>
      <c r="F79" s="38"/>
      <c r="G79" s="38"/>
      <c r="H79" s="38"/>
    </row>
    <row r="80" spans="3:8" ht="12.75">
      <c r="C80" s="38"/>
      <c r="D80" s="38"/>
      <c r="E80" s="38"/>
      <c r="F80" s="38"/>
      <c r="G80" s="38"/>
      <c r="H80" s="38"/>
    </row>
    <row r="81" spans="3:8" ht="12.75">
      <c r="C81" s="38"/>
      <c r="D81" s="38"/>
      <c r="E81" s="38"/>
      <c r="F81" s="38"/>
      <c r="G81" s="38"/>
      <c r="H81" s="38"/>
    </row>
    <row r="82" spans="3:8" ht="12.75">
      <c r="C82" s="38"/>
      <c r="D82" s="38"/>
      <c r="E82" s="38"/>
      <c r="F82" s="38"/>
      <c r="G82" s="38"/>
      <c r="H82" s="38"/>
    </row>
    <row r="83" spans="3:8" ht="12.75">
      <c r="C83" s="38"/>
      <c r="D83" s="38"/>
      <c r="E83" s="38"/>
      <c r="F83" s="38"/>
      <c r="G83" s="38"/>
      <c r="H83" s="38"/>
    </row>
    <row r="84" spans="3:8" ht="12.75">
      <c r="C84" s="38"/>
      <c r="D84" s="38"/>
      <c r="E84" s="38"/>
      <c r="F84" s="38"/>
      <c r="G84" s="38"/>
      <c r="H84" s="38"/>
    </row>
    <row r="85" spans="3:8" ht="12.75">
      <c r="C85" s="38"/>
      <c r="D85" s="38"/>
      <c r="E85" s="38"/>
      <c r="F85" s="38"/>
      <c r="G85" s="38"/>
      <c r="H85" s="38"/>
    </row>
    <row r="86" spans="3:8" ht="12.75">
      <c r="C86" s="38"/>
      <c r="D86" s="38"/>
      <c r="E86" s="38"/>
      <c r="F86" s="38"/>
      <c r="G86" s="38"/>
      <c r="H86" s="38"/>
    </row>
    <row r="87" spans="3:8" ht="12.75">
      <c r="C87" s="38"/>
      <c r="D87" s="38"/>
      <c r="E87" s="38"/>
      <c r="F87" s="38"/>
      <c r="G87" s="38"/>
      <c r="H87" s="38"/>
    </row>
  </sheetData>
  <mergeCells count="1">
    <mergeCell ref="H4:H5"/>
  </mergeCells>
  <dataValidations count="4">
    <dataValidation type="textLength" allowBlank="1" showInputMessage="1" showErrorMessage="1" sqref="Q16:S53 C15:D18 C12:C13 D13">
      <formula1>33</formula1>
      <formula2>33</formula2>
    </dataValidation>
    <dataValidation type="list" allowBlank="1" showInputMessage="1" showErrorMessage="1" sqref="H4">
      <formula1>$P$4:$BC$4</formula1>
    </dataValidation>
    <dataValidation type="textLength" allowBlank="1" showInputMessage="1" showErrorMessage="1" prompt="Cette celule est liée à la première de la colonne." sqref="H47:I47">
      <formula1>33</formula1>
      <formula2>33</formula2>
    </dataValidation>
    <dataValidation type="textLength" allowBlank="1" showInputMessage="1" showErrorMessage="1" prompt="Ces cellules ne peuvent être modifiées autrement que par le choix d'un modèle." sqref="J17:K47">
      <formula1>33</formula1>
      <formula2>33</formula2>
    </dataValidation>
  </dataValidations>
  <printOptions/>
  <pageMargins left="0.75" right="0.75" top="1" bottom="1" header="0.4921259845" footer="0.4921259845"/>
  <pageSetup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Feuil2"/>
  <dimension ref="C2:IV91"/>
  <sheetViews>
    <sheetView workbookViewId="0" topLeftCell="E25">
      <selection activeCell="N52" sqref="N52"/>
    </sheetView>
  </sheetViews>
  <sheetFormatPr defaultColWidth="11.421875" defaultRowHeight="12.75"/>
  <sheetData>
    <row r="2" ht="12.75">
      <c r="G2" t="str">
        <f>Saisie!$H$4</f>
        <v>2 Multitub Papyjo</v>
      </c>
    </row>
    <row r="3" ht="12.75">
      <c r="D3" t="s">
        <v>23</v>
      </c>
    </row>
    <row r="4" spans="4:256" ht="13.5" thickBot="1">
      <c r="D4" t="str">
        <f>HLOOKUP(Saisie!$H$4,$G$4:$FD$37,1)</f>
        <v>2 Multitub Papyjo</v>
      </c>
      <c r="G4" s="67" t="s">
        <v>20</v>
      </c>
      <c r="H4" s="67" t="s">
        <v>21</v>
      </c>
      <c r="I4" s="67" t="s">
        <v>41</v>
      </c>
      <c r="J4" s="67" t="s">
        <v>44</v>
      </c>
      <c r="K4" s="67">
        <v>5</v>
      </c>
      <c r="L4" s="67">
        <v>6</v>
      </c>
      <c r="M4" s="67">
        <v>7</v>
      </c>
      <c r="N4" s="67">
        <v>8</v>
      </c>
      <c r="O4" s="67">
        <v>9</v>
      </c>
      <c r="P4" s="67">
        <v>10</v>
      </c>
      <c r="Q4" s="67">
        <v>11</v>
      </c>
      <c r="R4" s="67">
        <v>12</v>
      </c>
      <c r="S4" s="67">
        <v>13</v>
      </c>
      <c r="T4" s="67">
        <v>14</v>
      </c>
      <c r="U4" s="67">
        <v>15</v>
      </c>
      <c r="V4" s="67">
        <v>16</v>
      </c>
      <c r="W4" s="67">
        <v>17</v>
      </c>
      <c r="X4" s="67">
        <v>18</v>
      </c>
      <c r="Y4" s="67">
        <v>19</v>
      </c>
      <c r="Z4" s="67">
        <v>20</v>
      </c>
      <c r="AA4" s="67">
        <v>21</v>
      </c>
      <c r="AB4" s="67">
        <v>22</v>
      </c>
      <c r="AC4" s="67">
        <v>23</v>
      </c>
      <c r="AD4" s="67">
        <v>24</v>
      </c>
      <c r="AE4" s="67">
        <v>25</v>
      </c>
      <c r="AF4" s="67">
        <v>26</v>
      </c>
      <c r="AG4" s="67">
        <v>27</v>
      </c>
      <c r="AH4" s="67">
        <v>28</v>
      </c>
      <c r="AI4" s="67">
        <v>29</v>
      </c>
      <c r="AJ4" s="67">
        <v>30</v>
      </c>
      <c r="AK4" s="67">
        <v>31</v>
      </c>
      <c r="AL4" s="67">
        <v>32</v>
      </c>
      <c r="AM4" s="67">
        <v>33</v>
      </c>
      <c r="AN4" s="67">
        <v>34</v>
      </c>
      <c r="AO4" s="67">
        <v>35</v>
      </c>
      <c r="AP4" s="67">
        <v>36</v>
      </c>
      <c r="AQ4" s="67">
        <v>37</v>
      </c>
      <c r="AR4" s="67">
        <v>38</v>
      </c>
      <c r="AS4" s="67">
        <v>39</v>
      </c>
      <c r="AT4" s="67">
        <v>40</v>
      </c>
      <c r="AU4" s="67">
        <v>41</v>
      </c>
      <c r="AV4" s="67">
        <v>42</v>
      </c>
      <c r="AW4" s="67">
        <v>43</v>
      </c>
      <c r="AX4" s="67">
        <v>44</v>
      </c>
      <c r="AY4" s="67">
        <v>45</v>
      </c>
      <c r="AZ4" s="67">
        <v>46</v>
      </c>
      <c r="BA4" s="67">
        <v>47</v>
      </c>
      <c r="BB4" s="67">
        <v>48</v>
      </c>
      <c r="BC4" s="67">
        <v>49</v>
      </c>
      <c r="BD4" s="67">
        <v>50</v>
      </c>
      <c r="BE4" s="67">
        <v>51</v>
      </c>
      <c r="BF4" s="67">
        <v>52</v>
      </c>
      <c r="BG4" s="67">
        <v>53</v>
      </c>
      <c r="BH4" s="67">
        <v>54</v>
      </c>
      <c r="BI4" s="67">
        <v>55</v>
      </c>
      <c r="BJ4" s="67">
        <v>56</v>
      </c>
      <c r="BK4" s="67">
        <v>57</v>
      </c>
      <c r="BL4" s="67">
        <v>58</v>
      </c>
      <c r="BM4" s="67">
        <v>59</v>
      </c>
      <c r="BN4" s="67">
        <v>60</v>
      </c>
      <c r="BO4" s="67">
        <v>61</v>
      </c>
      <c r="BP4" s="67">
        <v>62</v>
      </c>
      <c r="BQ4" s="67">
        <v>63</v>
      </c>
      <c r="BR4" s="67">
        <v>64</v>
      </c>
      <c r="BS4" s="67">
        <v>65</v>
      </c>
      <c r="BT4" s="67">
        <v>66</v>
      </c>
      <c r="BU4" s="67">
        <v>67</v>
      </c>
      <c r="BV4" s="67">
        <v>68</v>
      </c>
      <c r="BW4" s="67">
        <v>69</v>
      </c>
      <c r="BX4" s="67">
        <v>70</v>
      </c>
      <c r="BY4" s="67">
        <v>71</v>
      </c>
      <c r="BZ4" s="67">
        <v>72</v>
      </c>
      <c r="CA4" s="67">
        <v>73</v>
      </c>
      <c r="CB4" s="67">
        <v>74</v>
      </c>
      <c r="CC4" s="67">
        <v>75</v>
      </c>
      <c r="CD4" s="67">
        <v>76</v>
      </c>
      <c r="CE4" s="67">
        <v>77</v>
      </c>
      <c r="CF4" s="67">
        <v>78</v>
      </c>
      <c r="CG4" s="67">
        <v>79</v>
      </c>
      <c r="CH4" s="67">
        <v>80</v>
      </c>
      <c r="CI4" s="67">
        <v>81</v>
      </c>
      <c r="CJ4" s="67">
        <v>82</v>
      </c>
      <c r="CK4" s="67">
        <v>83</v>
      </c>
      <c r="CL4" s="67">
        <v>84</v>
      </c>
      <c r="CM4" s="67">
        <v>85</v>
      </c>
      <c r="CN4" s="67">
        <v>86</v>
      </c>
      <c r="CO4" s="67">
        <v>87</v>
      </c>
      <c r="CP4" s="67">
        <v>88</v>
      </c>
      <c r="CQ4" s="67">
        <v>89</v>
      </c>
      <c r="CR4" s="67">
        <v>90</v>
      </c>
      <c r="CS4" s="67">
        <v>91</v>
      </c>
      <c r="CT4" s="67">
        <v>92</v>
      </c>
      <c r="CU4" s="67">
        <v>93</v>
      </c>
      <c r="CV4" s="67">
        <v>94</v>
      </c>
      <c r="CW4" s="67">
        <v>95</v>
      </c>
      <c r="CX4" s="67">
        <v>96</v>
      </c>
      <c r="CY4" s="67">
        <v>97</v>
      </c>
      <c r="CZ4" s="67">
        <v>98</v>
      </c>
      <c r="DA4" s="67">
        <v>99</v>
      </c>
      <c r="DB4" s="67">
        <v>100</v>
      </c>
      <c r="DC4" s="67">
        <v>101</v>
      </c>
      <c r="DD4" s="67">
        <v>102</v>
      </c>
      <c r="DE4" s="67">
        <v>103</v>
      </c>
      <c r="DF4" s="67">
        <v>104</v>
      </c>
      <c r="DG4" s="67">
        <v>105</v>
      </c>
      <c r="DH4" s="67">
        <v>106</v>
      </c>
      <c r="DI4" s="67">
        <v>107</v>
      </c>
      <c r="DJ4" s="67">
        <v>108</v>
      </c>
      <c r="DK4" s="67">
        <v>109</v>
      </c>
      <c r="DL4" s="67">
        <v>110</v>
      </c>
      <c r="DM4" s="67">
        <v>111</v>
      </c>
      <c r="DN4" s="67">
        <v>112</v>
      </c>
      <c r="DO4" s="67">
        <v>113</v>
      </c>
      <c r="DP4" s="67">
        <v>114</v>
      </c>
      <c r="DQ4" s="67">
        <v>115</v>
      </c>
      <c r="DR4" s="67">
        <v>116</v>
      </c>
      <c r="DS4" s="67">
        <v>117</v>
      </c>
      <c r="DT4" s="67">
        <v>118</v>
      </c>
      <c r="DU4" s="67">
        <v>119</v>
      </c>
      <c r="DV4" s="67">
        <v>120</v>
      </c>
      <c r="DW4" s="67">
        <v>121</v>
      </c>
      <c r="DX4" s="67">
        <v>122</v>
      </c>
      <c r="DY4" s="67">
        <v>123</v>
      </c>
      <c r="DZ4" s="67">
        <v>124</v>
      </c>
      <c r="EA4" s="67">
        <v>125</v>
      </c>
      <c r="EB4" s="67">
        <v>126</v>
      </c>
      <c r="EC4" s="67">
        <v>127</v>
      </c>
      <c r="ED4" s="67">
        <v>128</v>
      </c>
      <c r="EE4" s="67">
        <v>129</v>
      </c>
      <c r="EF4" s="67">
        <v>130</v>
      </c>
      <c r="EG4" s="67">
        <v>131</v>
      </c>
      <c r="EH4" s="67">
        <v>132</v>
      </c>
      <c r="EI4" s="67">
        <v>133</v>
      </c>
      <c r="EJ4" s="67">
        <v>134</v>
      </c>
      <c r="EK4" s="67">
        <v>135</v>
      </c>
      <c r="EL4" s="67">
        <v>136</v>
      </c>
      <c r="EM4" s="67">
        <v>137</v>
      </c>
      <c r="EN4" s="67">
        <v>138</v>
      </c>
      <c r="EO4" s="67">
        <v>139</v>
      </c>
      <c r="EP4" s="67">
        <v>140</v>
      </c>
      <c r="EQ4" s="67">
        <v>141</v>
      </c>
      <c r="ER4" s="67">
        <v>142</v>
      </c>
      <c r="ES4" s="67">
        <v>143</v>
      </c>
      <c r="ET4" s="67">
        <v>144</v>
      </c>
      <c r="EU4" s="67">
        <v>145</v>
      </c>
      <c r="EV4" s="67">
        <v>146</v>
      </c>
      <c r="EW4" s="67">
        <v>147</v>
      </c>
      <c r="EX4" s="67">
        <v>148</v>
      </c>
      <c r="EY4" s="67">
        <v>149</v>
      </c>
      <c r="EZ4" s="67">
        <v>150</v>
      </c>
      <c r="FA4" s="67">
        <v>151</v>
      </c>
      <c r="FB4" s="67">
        <v>152</v>
      </c>
      <c r="FC4" s="67">
        <v>153</v>
      </c>
      <c r="FD4" s="67">
        <v>154</v>
      </c>
      <c r="FE4" s="67">
        <v>155</v>
      </c>
      <c r="FF4" s="67">
        <v>156</v>
      </c>
      <c r="FG4" s="67">
        <v>157</v>
      </c>
      <c r="FH4" s="67">
        <v>158</v>
      </c>
      <c r="FI4" s="67">
        <v>159</v>
      </c>
      <c r="FJ4" s="67">
        <v>160</v>
      </c>
      <c r="FK4" s="67">
        <v>161</v>
      </c>
      <c r="FL4" s="67">
        <v>162</v>
      </c>
      <c r="FM4" s="67">
        <v>163</v>
      </c>
      <c r="FN4" s="67">
        <v>164</v>
      </c>
      <c r="FO4" s="67">
        <v>165</v>
      </c>
      <c r="FP4" s="67">
        <v>166</v>
      </c>
      <c r="FQ4" s="67">
        <v>167</v>
      </c>
      <c r="FR4" s="67">
        <v>168</v>
      </c>
      <c r="FS4" s="67">
        <v>169</v>
      </c>
      <c r="FT4" s="67">
        <v>170</v>
      </c>
      <c r="FU4" s="67">
        <v>171</v>
      </c>
      <c r="FV4" s="67">
        <v>172</v>
      </c>
      <c r="FW4" s="67">
        <v>173</v>
      </c>
      <c r="FX4" s="67">
        <v>174</v>
      </c>
      <c r="FY4" s="67">
        <v>175</v>
      </c>
      <c r="FZ4" s="67">
        <v>176</v>
      </c>
      <c r="GA4" s="67">
        <v>177</v>
      </c>
      <c r="GB4" s="67">
        <v>178</v>
      </c>
      <c r="GC4" s="67">
        <v>179</v>
      </c>
      <c r="GD4" s="67">
        <v>180</v>
      </c>
      <c r="GE4" s="67">
        <v>181</v>
      </c>
      <c r="GF4" s="67">
        <v>182</v>
      </c>
      <c r="GG4" s="67">
        <v>183</v>
      </c>
      <c r="GH4" s="67">
        <v>184</v>
      </c>
      <c r="GI4" s="67">
        <v>185</v>
      </c>
      <c r="GJ4" s="67">
        <v>186</v>
      </c>
      <c r="GK4" s="67">
        <v>187</v>
      </c>
      <c r="GL4" s="67">
        <v>188</v>
      </c>
      <c r="GM4" s="67">
        <v>189</v>
      </c>
      <c r="GN4" s="67">
        <v>190</v>
      </c>
      <c r="GO4" s="67">
        <v>191</v>
      </c>
      <c r="GP4" s="67">
        <v>192</v>
      </c>
      <c r="GQ4" s="67">
        <v>193</v>
      </c>
      <c r="GR4" s="67">
        <v>194</v>
      </c>
      <c r="GS4" s="67">
        <v>195</v>
      </c>
      <c r="GT4" s="67">
        <v>196</v>
      </c>
      <c r="GU4" s="67">
        <v>197</v>
      </c>
      <c r="GV4" s="67">
        <v>198</v>
      </c>
      <c r="GW4" s="67">
        <v>199</v>
      </c>
      <c r="GX4" s="67">
        <v>200</v>
      </c>
      <c r="GY4" s="67">
        <v>201</v>
      </c>
      <c r="GZ4" s="67">
        <v>202</v>
      </c>
      <c r="HA4" s="67">
        <v>203</v>
      </c>
      <c r="HB4" s="67">
        <v>204</v>
      </c>
      <c r="HC4" s="67">
        <v>205</v>
      </c>
      <c r="HD4" s="67">
        <v>206</v>
      </c>
      <c r="HE4" s="67">
        <v>207</v>
      </c>
      <c r="HF4" s="67">
        <v>208</v>
      </c>
      <c r="HG4" s="67">
        <v>209</v>
      </c>
      <c r="HH4" s="67">
        <v>210</v>
      </c>
      <c r="HI4" s="67">
        <v>211</v>
      </c>
      <c r="HJ4" s="67">
        <v>212</v>
      </c>
      <c r="HK4" s="67">
        <v>213</v>
      </c>
      <c r="HL4" s="67">
        <v>214</v>
      </c>
      <c r="HM4" s="67">
        <v>215</v>
      </c>
      <c r="HN4" s="67">
        <v>216</v>
      </c>
      <c r="HO4" s="67">
        <v>217</v>
      </c>
      <c r="HP4" s="67">
        <v>218</v>
      </c>
      <c r="HQ4" s="67">
        <v>219</v>
      </c>
      <c r="HR4" s="67">
        <v>220</v>
      </c>
      <c r="HS4" s="67">
        <v>221</v>
      </c>
      <c r="HT4" s="67">
        <v>222</v>
      </c>
      <c r="HU4" s="67">
        <v>223</v>
      </c>
      <c r="HV4" s="67">
        <v>224</v>
      </c>
      <c r="HW4" s="67">
        <v>225</v>
      </c>
      <c r="HX4" s="67">
        <v>226</v>
      </c>
      <c r="HY4" s="67">
        <v>227</v>
      </c>
      <c r="HZ4" s="67">
        <v>228</v>
      </c>
      <c r="IA4" s="67">
        <v>229</v>
      </c>
      <c r="IB4" s="67">
        <v>230</v>
      </c>
      <c r="IC4" s="67">
        <v>231</v>
      </c>
      <c r="ID4" s="67">
        <v>232</v>
      </c>
      <c r="IE4" s="67">
        <v>233</v>
      </c>
      <c r="IF4" s="67">
        <v>234</v>
      </c>
      <c r="IG4" s="67">
        <v>235</v>
      </c>
      <c r="IH4" s="67">
        <v>236</v>
      </c>
      <c r="II4" s="67">
        <v>237</v>
      </c>
      <c r="IJ4" s="67">
        <v>238</v>
      </c>
      <c r="IK4" s="67">
        <v>239</v>
      </c>
      <c r="IL4" s="67">
        <v>240</v>
      </c>
      <c r="IM4" s="67">
        <v>241</v>
      </c>
      <c r="IN4" s="67">
        <v>242</v>
      </c>
      <c r="IO4" s="67">
        <v>243</v>
      </c>
      <c r="IP4" s="67">
        <v>244</v>
      </c>
      <c r="IQ4" s="67">
        <v>245</v>
      </c>
      <c r="IR4" s="67">
        <v>246</v>
      </c>
      <c r="IS4" s="67">
        <v>247</v>
      </c>
      <c r="IT4" s="67">
        <v>248</v>
      </c>
      <c r="IU4" s="67">
        <v>249</v>
      </c>
      <c r="IV4" s="67">
        <v>250</v>
      </c>
    </row>
    <row r="5" spans="4:9" ht="13.5" thickBot="1">
      <c r="D5" s="1" t="str">
        <f>HLOOKUP(Saisie!$H$4,$G$4:$FD$37,2)</f>
        <v>Empennage de fusée astuciel</v>
      </c>
      <c r="G5" s="16" t="s">
        <v>17</v>
      </c>
      <c r="H5" s="18" t="s">
        <v>42</v>
      </c>
      <c r="I5" t="s">
        <v>43</v>
      </c>
    </row>
    <row r="6" spans="4:15" ht="13.5" thickBot="1">
      <c r="D6" s="1" t="str">
        <f>HLOOKUP(Saisie!$H$4,$G$4:$FD$37,3)</f>
        <v>X</v>
      </c>
      <c r="G6" s="31" t="s">
        <v>0</v>
      </c>
      <c r="H6" s="31" t="s">
        <v>0</v>
      </c>
      <c r="I6" s="31" t="s">
        <v>0</v>
      </c>
      <c r="J6" s="31" t="s">
        <v>0</v>
      </c>
      <c r="K6" s="31" t="s">
        <v>0</v>
      </c>
      <c r="L6" s="31" t="s">
        <v>0</v>
      </c>
      <c r="M6" s="31" t="s">
        <v>0</v>
      </c>
      <c r="N6" s="31" t="s">
        <v>0</v>
      </c>
      <c r="O6" s="31" t="s">
        <v>0</v>
      </c>
    </row>
    <row r="7" spans="3:11" ht="12.75">
      <c r="C7">
        <v>1</v>
      </c>
      <c r="D7" s="78">
        <f>HLOOKUP(Saisie!$H$4,$G$4:$FD$37,4)</f>
        <v>3.490666666666666</v>
      </c>
      <c r="F7">
        <v>1</v>
      </c>
      <c r="G7" s="1">
        <v>11.3</v>
      </c>
      <c r="H7" s="78">
        <v>3.490666666666666</v>
      </c>
      <c r="I7" s="1">
        <v>11.3</v>
      </c>
      <c r="J7">
        <v>10</v>
      </c>
      <c r="K7" s="1"/>
    </row>
    <row r="8" spans="3:11" ht="12.75">
      <c r="C8">
        <v>2</v>
      </c>
      <c r="D8" s="78">
        <f>HLOOKUP(Saisie!$H$4,$G$4:$FD$37,5)</f>
        <v>3.5133333333333354</v>
      </c>
      <c r="F8">
        <v>2</v>
      </c>
      <c r="G8" s="79">
        <v>11.24</v>
      </c>
      <c r="H8" s="78">
        <v>3.5133333333333354</v>
      </c>
      <c r="I8" s="79">
        <v>11.24</v>
      </c>
      <c r="J8">
        <v>10</v>
      </c>
      <c r="K8" s="79"/>
    </row>
    <row r="9" spans="3:11" ht="12.75">
      <c r="C9">
        <v>3</v>
      </c>
      <c r="D9" s="78">
        <f>HLOOKUP(Saisie!$H$4,$G$4:$FD$37,6)</f>
        <v>3.0820000000000007</v>
      </c>
      <c r="F9">
        <v>3</v>
      </c>
      <c r="G9" s="80">
        <v>11.18</v>
      </c>
      <c r="H9" s="81">
        <v>3.0820000000000007</v>
      </c>
      <c r="I9" s="80">
        <v>11.18</v>
      </c>
      <c r="J9">
        <v>10</v>
      </c>
      <c r="K9" s="80"/>
    </row>
    <row r="10" spans="3:11" ht="12.75">
      <c r="C10">
        <v>4</v>
      </c>
      <c r="D10" s="78">
        <f>HLOOKUP(Saisie!$H$4,$G$4:$FD$37,7)</f>
        <v>2.3633333333333333</v>
      </c>
      <c r="F10">
        <v>4</v>
      </c>
      <c r="G10" s="80">
        <v>11.29</v>
      </c>
      <c r="H10" s="81">
        <v>2.3633333333333333</v>
      </c>
      <c r="I10" s="80">
        <v>11.29</v>
      </c>
      <c r="J10">
        <v>10</v>
      </c>
      <c r="K10" s="80"/>
    </row>
    <row r="11" spans="3:11" ht="12.75">
      <c r="C11">
        <v>5</v>
      </c>
      <c r="D11" s="78">
        <f>HLOOKUP(Saisie!$H$4,$G$4:$FD$37,8)</f>
        <v>0.9193333333333342</v>
      </c>
      <c r="F11">
        <v>5</v>
      </c>
      <c r="G11" s="80">
        <v>11.73</v>
      </c>
      <c r="H11" s="81">
        <v>0.9193333333333342</v>
      </c>
      <c r="I11" s="80">
        <v>11.73</v>
      </c>
      <c r="J11">
        <v>10</v>
      </c>
      <c r="K11" s="80"/>
    </row>
    <row r="12" spans="3:11" ht="12.75">
      <c r="C12">
        <v>6</v>
      </c>
      <c r="D12" s="78">
        <f>HLOOKUP(Saisie!$H$4,$G$4:$FD$37,9)</f>
        <v>1.2226666666666688</v>
      </c>
      <c r="F12">
        <v>6</v>
      </c>
      <c r="G12" s="80">
        <v>12.33</v>
      </c>
      <c r="H12" s="81">
        <v>1.2226666666666688</v>
      </c>
      <c r="I12" s="80">
        <v>12.33</v>
      </c>
      <c r="J12">
        <v>10</v>
      </c>
      <c r="K12" s="80"/>
    </row>
    <row r="13" spans="3:11" ht="12.75">
      <c r="C13">
        <v>7</v>
      </c>
      <c r="D13" s="78">
        <f>HLOOKUP(Saisie!$H$4,$G$4:$FD$37,10)</f>
        <v>2.519333333333332</v>
      </c>
      <c r="F13">
        <v>7</v>
      </c>
      <c r="G13" s="80">
        <v>13.58</v>
      </c>
      <c r="H13" s="81">
        <v>2.519333333333332</v>
      </c>
      <c r="I13" s="80">
        <v>13.58</v>
      </c>
      <c r="J13">
        <v>10</v>
      </c>
      <c r="K13" s="80"/>
    </row>
    <row r="14" spans="3:11" ht="12.75">
      <c r="C14">
        <v>8</v>
      </c>
      <c r="D14" s="78">
        <f>HLOOKUP(Saisie!$H$4,$G$4:$FD$37,11)</f>
        <v>5.049333333333333</v>
      </c>
      <c r="F14">
        <v>8</v>
      </c>
      <c r="G14" s="80">
        <v>15.87</v>
      </c>
      <c r="H14" s="81">
        <v>5.049333333333333</v>
      </c>
      <c r="I14" s="80">
        <v>15.87</v>
      </c>
      <c r="J14">
        <v>10</v>
      </c>
      <c r="K14" s="80"/>
    </row>
    <row r="15" spans="3:11" ht="12.75">
      <c r="C15">
        <v>9</v>
      </c>
      <c r="D15" s="78">
        <f>HLOOKUP(Saisie!$H$4,$G$4:$FD$37,12)</f>
        <v>7.559333333333331</v>
      </c>
      <c r="F15">
        <v>9</v>
      </c>
      <c r="G15" s="80">
        <v>18.82</v>
      </c>
      <c r="H15" s="81">
        <v>7.559333333333331</v>
      </c>
      <c r="I15" s="80">
        <v>18.82</v>
      </c>
      <c r="J15" s="24">
        <v>10</v>
      </c>
      <c r="K15" s="80"/>
    </row>
    <row r="16" spans="3:11" ht="12.75">
      <c r="C16">
        <v>10</v>
      </c>
      <c r="D16" s="78">
        <f>HLOOKUP(Saisie!$H$4,$G$4:$FD$37,13)</f>
        <v>11.056000000000001</v>
      </c>
      <c r="F16">
        <v>10</v>
      </c>
      <c r="G16" s="80">
        <v>20.89</v>
      </c>
      <c r="H16" s="81">
        <v>11.056000000000001</v>
      </c>
      <c r="I16" s="80">
        <v>20.89</v>
      </c>
      <c r="J16" s="41">
        <v>12</v>
      </c>
      <c r="K16" s="80"/>
    </row>
    <row r="17" spans="3:11" ht="12.75">
      <c r="C17">
        <v>11</v>
      </c>
      <c r="D17" s="78">
        <f>HLOOKUP(Saisie!$H$4,$G$4:$FD$37,14)</f>
        <v>13.766000000000002</v>
      </c>
      <c r="F17">
        <v>11</v>
      </c>
      <c r="G17" s="80">
        <v>22.36</v>
      </c>
      <c r="H17" s="81">
        <v>13.766000000000002</v>
      </c>
      <c r="I17" s="80">
        <v>22.36</v>
      </c>
      <c r="J17" s="41">
        <v>14</v>
      </c>
      <c r="K17" s="80"/>
    </row>
    <row r="18" spans="3:11" ht="12.75">
      <c r="C18">
        <v>12</v>
      </c>
      <c r="D18" s="78">
        <f>HLOOKUP(Saisie!$H$4,$G$4:$FD$37,15)</f>
        <v>16.055999999999997</v>
      </c>
      <c r="F18">
        <v>12</v>
      </c>
      <c r="G18" s="80">
        <v>23.35</v>
      </c>
      <c r="H18" s="81">
        <v>16.055999999999997</v>
      </c>
      <c r="I18" s="80">
        <v>23.35</v>
      </c>
      <c r="J18" s="41">
        <v>16</v>
      </c>
      <c r="K18" s="80"/>
    </row>
    <row r="19" spans="3:11" ht="12.75">
      <c r="C19">
        <v>13</v>
      </c>
      <c r="D19" s="78">
        <f>HLOOKUP(Saisie!$H$4,$G$4:$FD$37,16)</f>
        <v>19.099333333333334</v>
      </c>
      <c r="F19">
        <v>13</v>
      </c>
      <c r="G19" s="80">
        <v>24.11</v>
      </c>
      <c r="H19" s="81">
        <v>19.099333333333334</v>
      </c>
      <c r="I19" s="80">
        <v>24.11</v>
      </c>
      <c r="J19" s="41">
        <v>18</v>
      </c>
      <c r="K19" s="80"/>
    </row>
    <row r="20" spans="3:11" ht="12.75">
      <c r="C20">
        <v>14</v>
      </c>
      <c r="D20" s="78">
        <f>HLOOKUP(Saisie!$H$4,$G$4:$FD$37,17)</f>
        <v>21.896</v>
      </c>
      <c r="F20">
        <v>14</v>
      </c>
      <c r="G20" s="80">
        <v>24.44</v>
      </c>
      <c r="H20" s="81">
        <v>21.896</v>
      </c>
      <c r="I20" s="80">
        <v>24.44</v>
      </c>
      <c r="J20" s="41">
        <v>20</v>
      </c>
      <c r="K20" s="80"/>
    </row>
    <row r="21" spans="3:11" ht="12.75">
      <c r="C21" s="24">
        <v>15</v>
      </c>
      <c r="D21" s="78">
        <f>HLOOKUP(Saisie!$H$4,$G$4:$FD$37,18)</f>
        <v>24.138000000000005</v>
      </c>
      <c r="F21" s="24">
        <v>15</v>
      </c>
      <c r="G21" s="80">
        <v>25.04</v>
      </c>
      <c r="H21" s="81">
        <v>24.138000000000005</v>
      </c>
      <c r="I21" s="80">
        <v>25.04</v>
      </c>
      <c r="J21" s="24">
        <v>20</v>
      </c>
      <c r="K21" s="80"/>
    </row>
    <row r="22" spans="3:11" ht="12.75">
      <c r="C22" s="24">
        <v>16</v>
      </c>
      <c r="D22" s="78">
        <f>HLOOKUP(Saisie!$H$4,$G$4:$FD$37,19)</f>
        <v>25.476</v>
      </c>
      <c r="F22" s="24">
        <v>16</v>
      </c>
      <c r="G22" s="8">
        <v>25.04</v>
      </c>
      <c r="H22" s="81">
        <v>25.476</v>
      </c>
      <c r="I22" s="8">
        <v>25.04</v>
      </c>
      <c r="J22" s="24">
        <v>20</v>
      </c>
      <c r="K22" s="8"/>
    </row>
    <row r="23" spans="3:11" ht="12.75">
      <c r="C23">
        <v>17</v>
      </c>
      <c r="D23" s="78">
        <f>HLOOKUP(Saisie!$H$4,$G$4:$FD$37,20)</f>
        <v>25.915999999999997</v>
      </c>
      <c r="F23">
        <v>17</v>
      </c>
      <c r="G23" s="8">
        <v>24.87</v>
      </c>
      <c r="H23" s="81">
        <v>25.915999999999997</v>
      </c>
      <c r="I23" s="8">
        <v>24.87</v>
      </c>
      <c r="J23" s="24">
        <v>20</v>
      </c>
      <c r="K23" s="8"/>
    </row>
    <row r="24" spans="3:11" ht="12.75">
      <c r="C24">
        <v>18</v>
      </c>
      <c r="D24" s="78">
        <f>HLOOKUP(Saisie!$H$4,$G$4:$FD$37,21)</f>
        <v>25.406</v>
      </c>
      <c r="F24">
        <v>18</v>
      </c>
      <c r="G24" s="80">
        <v>24.22</v>
      </c>
      <c r="H24" s="81">
        <v>25.406</v>
      </c>
      <c r="I24" s="80">
        <v>24.22</v>
      </c>
      <c r="J24" s="24">
        <v>20</v>
      </c>
      <c r="K24" s="80"/>
    </row>
    <row r="25" spans="3:11" ht="12.75">
      <c r="C25">
        <v>19</v>
      </c>
      <c r="D25" s="78">
        <f>HLOOKUP(Saisie!$H$4,$G$4:$FD$37,22)</f>
        <v>23.75933333333333</v>
      </c>
      <c r="F25">
        <v>19</v>
      </c>
      <c r="G25" s="80">
        <v>23.07</v>
      </c>
      <c r="H25" s="81">
        <v>23.75933333333333</v>
      </c>
      <c r="I25" s="80">
        <v>23.07</v>
      </c>
      <c r="J25" s="24">
        <v>20</v>
      </c>
      <c r="K25" s="80"/>
    </row>
    <row r="26" spans="3:11" ht="12.75">
      <c r="C26">
        <v>20</v>
      </c>
      <c r="D26" s="78">
        <f>HLOOKUP(Saisie!$H$4,$G$4:$FD$37,23)</f>
        <v>20.136000000000003</v>
      </c>
      <c r="F26">
        <v>20</v>
      </c>
      <c r="G26" s="80">
        <v>21.65</v>
      </c>
      <c r="H26" s="81">
        <v>20.136000000000003</v>
      </c>
      <c r="I26" s="80">
        <v>21.65</v>
      </c>
      <c r="J26" s="24">
        <v>20</v>
      </c>
      <c r="K26" s="80"/>
    </row>
    <row r="27" spans="3:11" ht="12.75">
      <c r="C27">
        <v>21</v>
      </c>
      <c r="D27" s="78">
        <f>HLOOKUP(Saisie!$H$4,$G$4:$FD$37,24)</f>
        <v>15.492666666666665</v>
      </c>
      <c r="F27">
        <v>21</v>
      </c>
      <c r="G27" s="80">
        <v>20.35</v>
      </c>
      <c r="H27" s="81">
        <v>15.492666666666665</v>
      </c>
      <c r="I27" s="80">
        <v>20.35</v>
      </c>
      <c r="J27" s="24">
        <v>20</v>
      </c>
      <c r="K27" s="80"/>
    </row>
    <row r="28" spans="3:11" ht="12.75">
      <c r="C28">
        <v>22</v>
      </c>
      <c r="D28" s="78">
        <f>HLOOKUP(Saisie!$H$4,$G$4:$FD$37,25)</f>
        <v>12.555999999999997</v>
      </c>
      <c r="F28">
        <v>22</v>
      </c>
      <c r="G28" s="80">
        <v>18.38</v>
      </c>
      <c r="H28" s="81">
        <v>12.555999999999997</v>
      </c>
      <c r="I28" s="80">
        <v>18.38</v>
      </c>
      <c r="J28" s="24">
        <v>20</v>
      </c>
      <c r="K28" s="80"/>
    </row>
    <row r="29" spans="3:11" ht="12.75">
      <c r="C29">
        <v>23</v>
      </c>
      <c r="D29" s="78">
        <f>HLOOKUP(Saisie!$H$4,$G$4:$FD$37,26)</f>
        <v>9.856000000000002</v>
      </c>
      <c r="F29">
        <v>23</v>
      </c>
      <c r="G29" s="80">
        <v>16.91</v>
      </c>
      <c r="H29" s="81">
        <v>9.856000000000002</v>
      </c>
      <c r="I29" s="80">
        <v>16.91</v>
      </c>
      <c r="J29" s="24">
        <v>18</v>
      </c>
      <c r="K29" s="80"/>
    </row>
    <row r="30" spans="3:11" ht="12.75">
      <c r="C30">
        <v>24</v>
      </c>
      <c r="D30" s="78">
        <f>HLOOKUP(Saisie!$H$4,$G$4:$FD$37,27)</f>
        <v>6.056000000000001</v>
      </c>
      <c r="F30">
        <v>24</v>
      </c>
      <c r="G30" s="80">
        <v>15.05</v>
      </c>
      <c r="H30" s="81">
        <v>6.056000000000001</v>
      </c>
      <c r="I30" s="80">
        <v>15.05</v>
      </c>
      <c r="J30" s="24">
        <v>16</v>
      </c>
      <c r="K30" s="80"/>
    </row>
    <row r="31" spans="3:11" ht="12.75">
      <c r="C31">
        <v>25</v>
      </c>
      <c r="D31" s="78">
        <f>HLOOKUP(Saisie!$H$4,$G$4:$FD$37,28)</f>
        <v>3.022666666666666</v>
      </c>
      <c r="F31">
        <v>25</v>
      </c>
      <c r="G31" s="80">
        <v>13.69</v>
      </c>
      <c r="H31" s="81">
        <v>3.022666666666666</v>
      </c>
      <c r="I31" s="80">
        <v>13.69</v>
      </c>
      <c r="J31" s="24">
        <v>14</v>
      </c>
      <c r="K31" s="80"/>
    </row>
    <row r="32" spans="3:11" ht="12.75">
      <c r="C32">
        <v>26</v>
      </c>
      <c r="D32" s="78">
        <f>HLOOKUP(Saisie!$H$4,$G$4:$FD$37,29)</f>
        <v>1.979333333333333</v>
      </c>
      <c r="F32">
        <v>26</v>
      </c>
      <c r="G32" s="80">
        <v>12.65</v>
      </c>
      <c r="H32" s="81">
        <v>1.979333333333333</v>
      </c>
      <c r="I32" s="80">
        <v>12.65</v>
      </c>
      <c r="J32" s="41">
        <v>12</v>
      </c>
      <c r="K32" s="80"/>
    </row>
    <row r="33" spans="3:11" ht="12.75">
      <c r="C33">
        <v>27</v>
      </c>
      <c r="D33" s="78">
        <f>HLOOKUP(Saisie!$H$4,$G$4:$FD$37,30)</f>
        <v>1.512666666666668</v>
      </c>
      <c r="F33">
        <v>27</v>
      </c>
      <c r="G33" s="80">
        <v>12.11</v>
      </c>
      <c r="H33" s="81">
        <v>1.512666666666668</v>
      </c>
      <c r="I33" s="80">
        <v>12.11</v>
      </c>
      <c r="J33" s="41">
        <v>10</v>
      </c>
      <c r="K33" s="80"/>
    </row>
    <row r="34" spans="3:11" ht="12.75">
      <c r="C34">
        <v>28</v>
      </c>
      <c r="D34" s="78">
        <f>HLOOKUP(Saisie!$H$4,$G$4:$FD$37,31)</f>
        <v>2.3226666666666667</v>
      </c>
      <c r="F34">
        <v>28</v>
      </c>
      <c r="G34" s="80">
        <v>11.56</v>
      </c>
      <c r="H34" s="81">
        <v>2.3226666666666667</v>
      </c>
      <c r="I34" s="80">
        <v>11.56</v>
      </c>
      <c r="J34" s="41">
        <v>10</v>
      </c>
      <c r="K34" s="80"/>
    </row>
    <row r="35" spans="3:11" ht="12.75">
      <c r="C35">
        <v>29</v>
      </c>
      <c r="D35" s="78">
        <f>HLOOKUP(Saisie!$H$4,$G$4:$FD$37,32)</f>
        <v>2.922666666666668</v>
      </c>
      <c r="F35">
        <v>29</v>
      </c>
      <c r="G35" s="80">
        <v>11.51</v>
      </c>
      <c r="H35" s="81">
        <v>2.922666666666668</v>
      </c>
      <c r="I35" s="80">
        <v>11.51</v>
      </c>
      <c r="J35" s="41">
        <v>10</v>
      </c>
      <c r="K35" s="80"/>
    </row>
    <row r="36" spans="3:11" ht="12.75">
      <c r="C36">
        <v>30</v>
      </c>
      <c r="D36" s="78">
        <f>HLOOKUP(Saisie!$H$4,$G$4:$FD$37,33)</f>
        <v>3.3826666666666654</v>
      </c>
      <c r="F36">
        <v>30</v>
      </c>
      <c r="G36" s="80">
        <v>11.56</v>
      </c>
      <c r="H36" s="81">
        <v>3.3826666666666654</v>
      </c>
      <c r="I36" s="80">
        <v>11.56</v>
      </c>
      <c r="J36" s="41">
        <v>10</v>
      </c>
      <c r="K36" s="80"/>
    </row>
    <row r="37" spans="3:11" ht="13.5" thickBot="1">
      <c r="C37">
        <v>31</v>
      </c>
      <c r="D37" s="78">
        <f>HLOOKUP(Saisie!$H$4,$G$4:$FD$37,34)</f>
        <v>3.490666666666666</v>
      </c>
      <c r="F37">
        <v>31</v>
      </c>
      <c r="G37" s="82">
        <f>G7</f>
        <v>11.3</v>
      </c>
      <c r="H37" s="81">
        <v>3.490666666666666</v>
      </c>
      <c r="I37" s="82">
        <f>I7</f>
        <v>11.3</v>
      </c>
      <c r="J37" s="41">
        <v>10</v>
      </c>
      <c r="K37" s="82"/>
    </row>
    <row r="38" spans="4:15" ht="13.5" thickBot="1">
      <c r="D38" s="78" t="str">
        <f>HLOOKUP(Saisie!$H$4,$G$4:$FD$69,35)</f>
        <v>Y</v>
      </c>
      <c r="G38" s="32" t="s">
        <v>1</v>
      </c>
      <c r="H38" s="32" t="s">
        <v>1</v>
      </c>
      <c r="I38" s="32" t="s">
        <v>1</v>
      </c>
      <c r="J38" s="32" t="s">
        <v>1</v>
      </c>
      <c r="K38" s="32" t="s">
        <v>1</v>
      </c>
      <c r="L38" s="32" t="s">
        <v>1</v>
      </c>
      <c r="M38" s="32" t="s">
        <v>1</v>
      </c>
      <c r="N38" s="32" t="s">
        <v>1</v>
      </c>
      <c r="O38" s="32" t="s">
        <v>1</v>
      </c>
    </row>
    <row r="39" spans="3:11" ht="12.75">
      <c r="C39">
        <v>32</v>
      </c>
      <c r="D39" s="78">
        <f>HLOOKUP(Saisie!$H$4,$G$4:$FD$69,36)</f>
        <v>-0.4793333333333347</v>
      </c>
      <c r="E39">
        <v>1</v>
      </c>
      <c r="F39">
        <v>32</v>
      </c>
      <c r="G39" s="83">
        <v>0.01</v>
      </c>
      <c r="H39" s="78">
        <v>-0.4793333333333347</v>
      </c>
      <c r="I39" s="81">
        <v>0.005</v>
      </c>
      <c r="J39">
        <v>-8</v>
      </c>
      <c r="K39" s="83"/>
    </row>
    <row r="40" spans="3:11" ht="12.75">
      <c r="C40">
        <v>33</v>
      </c>
      <c r="D40" s="78">
        <f>HLOOKUP(Saisie!$H$4,$G$4:$FD$69,37)</f>
        <v>0.7893333333333317</v>
      </c>
      <c r="E40">
        <v>2</v>
      </c>
      <c r="F40">
        <v>33</v>
      </c>
      <c r="G40" s="84">
        <v>0.8800000000000008</v>
      </c>
      <c r="H40" s="78">
        <v>0.7893333333333317</v>
      </c>
      <c r="I40" s="81">
        <v>0.44</v>
      </c>
      <c r="J40">
        <v>-6</v>
      </c>
      <c r="K40" s="84"/>
    </row>
    <row r="41" spans="3:11" ht="12.75">
      <c r="C41">
        <v>34</v>
      </c>
      <c r="D41" s="78">
        <f>HLOOKUP(Saisie!$H$4,$G$4:$FD$69,38)</f>
        <v>2.562666666666665</v>
      </c>
      <c r="E41">
        <v>3</v>
      </c>
      <c r="F41">
        <v>34</v>
      </c>
      <c r="G41" s="85">
        <v>2.36</v>
      </c>
      <c r="H41" s="78">
        <v>2.562666666666665</v>
      </c>
      <c r="I41" s="81">
        <v>1.18</v>
      </c>
      <c r="J41">
        <v>-4</v>
      </c>
      <c r="K41" s="85"/>
    </row>
    <row r="42" spans="3:11" ht="12.75">
      <c r="C42">
        <v>35</v>
      </c>
      <c r="D42" s="78">
        <f>HLOOKUP(Saisie!$H$4,$G$4:$FD$69,39)</f>
        <v>4.09933333333333</v>
      </c>
      <c r="E42">
        <v>4</v>
      </c>
      <c r="F42">
        <v>35</v>
      </c>
      <c r="G42" s="85">
        <v>3.69</v>
      </c>
      <c r="H42" s="78">
        <v>4.09933333333333</v>
      </c>
      <c r="I42" s="81">
        <v>1.845</v>
      </c>
      <c r="J42">
        <v>-2</v>
      </c>
      <c r="K42" s="85"/>
    </row>
    <row r="43" spans="3:11" ht="12.75">
      <c r="C43">
        <v>36</v>
      </c>
      <c r="D43" s="78">
        <f>HLOOKUP(Saisie!$H$4,$G$4:$FD$69,40)</f>
        <v>6.1726666666666645</v>
      </c>
      <c r="E43">
        <v>5</v>
      </c>
      <c r="F43">
        <v>36</v>
      </c>
      <c r="G43" s="85">
        <v>4.85</v>
      </c>
      <c r="H43" s="78">
        <v>6.1726666666666645</v>
      </c>
      <c r="I43" s="81">
        <v>2.425</v>
      </c>
      <c r="J43">
        <v>0</v>
      </c>
      <c r="K43" s="85"/>
    </row>
    <row r="44" spans="3:11" ht="12.75">
      <c r="C44">
        <v>37</v>
      </c>
      <c r="D44" s="78">
        <f>HLOOKUP(Saisie!$H$4,$G$4:$FD$69,41)</f>
        <v>6.345999999999998</v>
      </c>
      <c r="E44">
        <v>6</v>
      </c>
      <c r="F44">
        <v>37</v>
      </c>
      <c r="G44" s="85">
        <v>6</v>
      </c>
      <c r="H44" s="78">
        <v>6.345999999999998</v>
      </c>
      <c r="I44" s="81">
        <v>3</v>
      </c>
      <c r="J44">
        <v>2</v>
      </c>
      <c r="K44" s="85"/>
    </row>
    <row r="45" spans="3:11" ht="12.75">
      <c r="C45">
        <v>38</v>
      </c>
      <c r="D45" s="78">
        <f>HLOOKUP(Saisie!$H$4,$G$4:$FD$69,42)</f>
        <v>5.279333333333332</v>
      </c>
      <c r="E45">
        <v>7</v>
      </c>
      <c r="F45">
        <v>38</v>
      </c>
      <c r="G45" s="85">
        <v>7.45</v>
      </c>
      <c r="H45" s="78">
        <v>5.279333333333332</v>
      </c>
      <c r="I45" s="81">
        <v>3.725</v>
      </c>
      <c r="J45">
        <v>4</v>
      </c>
      <c r="K45" s="85"/>
    </row>
    <row r="46" spans="3:11" ht="12.75">
      <c r="C46">
        <v>39</v>
      </c>
      <c r="D46" s="78">
        <f>HLOOKUP(Saisie!$H$4,$G$4:$FD$69,43)</f>
        <v>5.902666666666665</v>
      </c>
      <c r="E46">
        <v>8</v>
      </c>
      <c r="F46">
        <v>39</v>
      </c>
      <c r="G46" s="85">
        <v>8.73</v>
      </c>
      <c r="H46" s="78">
        <v>5.902666666666665</v>
      </c>
      <c r="I46" s="81">
        <v>4.365</v>
      </c>
      <c r="J46">
        <v>6</v>
      </c>
      <c r="K46" s="85"/>
    </row>
    <row r="47" spans="3:11" ht="12.75">
      <c r="C47">
        <v>40</v>
      </c>
      <c r="D47" s="78">
        <f>HLOOKUP(Saisie!$H$4,$G$4:$FD$69,44)</f>
        <v>6.472666666666665</v>
      </c>
      <c r="E47">
        <v>9</v>
      </c>
      <c r="F47">
        <v>40</v>
      </c>
      <c r="G47" s="85">
        <v>9.05</v>
      </c>
      <c r="H47" s="78">
        <v>6.472666666666665</v>
      </c>
      <c r="I47" s="81">
        <v>4.525</v>
      </c>
      <c r="J47" s="24">
        <v>8</v>
      </c>
      <c r="K47" s="85"/>
    </row>
    <row r="48" spans="3:11" ht="12.75">
      <c r="C48">
        <v>41</v>
      </c>
      <c r="D48" s="78">
        <f>HLOOKUP(Saisie!$H$4,$G$4:$FD$69,45)</f>
        <v>6.739333333333331</v>
      </c>
      <c r="E48">
        <v>10</v>
      </c>
      <c r="F48">
        <v>41</v>
      </c>
      <c r="G48" s="85">
        <v>8.51</v>
      </c>
      <c r="H48" s="78">
        <v>6.739333333333331</v>
      </c>
      <c r="I48" s="81">
        <v>4.255</v>
      </c>
      <c r="J48" s="41">
        <v>8</v>
      </c>
      <c r="K48" s="85"/>
    </row>
    <row r="49" spans="3:11" ht="12.75">
      <c r="C49">
        <v>42</v>
      </c>
      <c r="D49" s="78">
        <f>HLOOKUP(Saisie!$H$4,$G$4:$FD$69,46)</f>
        <v>6.5426666666666655</v>
      </c>
      <c r="E49">
        <v>11</v>
      </c>
      <c r="F49">
        <v>42</v>
      </c>
      <c r="G49" s="85">
        <v>7.6</v>
      </c>
      <c r="H49" s="78">
        <v>6.5426666666666655</v>
      </c>
      <c r="I49" s="81">
        <v>3.8</v>
      </c>
      <c r="J49" s="41">
        <v>8</v>
      </c>
      <c r="K49" s="85"/>
    </row>
    <row r="50" spans="3:11" ht="12.75">
      <c r="C50">
        <v>43</v>
      </c>
      <c r="D50" s="78">
        <f>HLOOKUP(Saisie!$H$4,$G$4:$FD$69,47)</f>
        <v>6.135999999999999</v>
      </c>
      <c r="E50">
        <v>12</v>
      </c>
      <c r="F50">
        <v>43</v>
      </c>
      <c r="G50" s="85">
        <v>6.55</v>
      </c>
      <c r="H50" s="78">
        <v>6.135999999999999</v>
      </c>
      <c r="I50" s="81">
        <v>3.275</v>
      </c>
      <c r="J50" s="41">
        <v>8</v>
      </c>
      <c r="K50" s="85"/>
    </row>
    <row r="51" spans="3:11" ht="12.75">
      <c r="C51">
        <v>44</v>
      </c>
      <c r="D51" s="78">
        <f>HLOOKUP(Saisie!$H$4,$G$4:$FD$69,48)</f>
        <v>5.265999999999998</v>
      </c>
      <c r="E51">
        <v>13</v>
      </c>
      <c r="F51">
        <v>44</v>
      </c>
      <c r="G51" s="85">
        <v>5.65</v>
      </c>
      <c r="H51" s="78">
        <v>5.265999999999998</v>
      </c>
      <c r="I51" s="81">
        <v>2.825</v>
      </c>
      <c r="J51" s="41">
        <v>8</v>
      </c>
      <c r="K51" s="85"/>
    </row>
    <row r="52" spans="3:11" ht="12.75">
      <c r="C52">
        <v>45</v>
      </c>
      <c r="D52" s="78">
        <f>HLOOKUP(Saisie!$H$4,$G$4:$FD$69,49)</f>
        <v>3.975999999999999</v>
      </c>
      <c r="E52">
        <v>14</v>
      </c>
      <c r="F52">
        <v>45</v>
      </c>
      <c r="G52" s="85">
        <v>4.96</v>
      </c>
      <c r="H52" s="78">
        <v>3.975999999999999</v>
      </c>
      <c r="I52" s="81">
        <v>2.48</v>
      </c>
      <c r="J52" s="41">
        <v>8</v>
      </c>
      <c r="K52" s="85"/>
    </row>
    <row r="53" spans="3:11" ht="12.75">
      <c r="C53">
        <v>46</v>
      </c>
      <c r="D53" s="78">
        <f>HLOOKUP(Saisie!$H$4,$G$4:$FD$69,50)</f>
        <v>2.355999999999998</v>
      </c>
      <c r="E53" s="24">
        <v>15</v>
      </c>
      <c r="F53">
        <v>46</v>
      </c>
      <c r="G53" s="85">
        <v>3.32</v>
      </c>
      <c r="H53" s="78">
        <v>2.355999999999998</v>
      </c>
      <c r="I53" s="81">
        <v>1.66</v>
      </c>
      <c r="J53" s="24">
        <v>6</v>
      </c>
      <c r="K53" s="85"/>
    </row>
    <row r="54" spans="3:11" ht="12.75">
      <c r="C54">
        <v>47</v>
      </c>
      <c r="D54" s="78">
        <f>HLOOKUP(Saisie!$H$4,$G$4:$FD$69,51)</f>
        <v>0.5619999999999994</v>
      </c>
      <c r="E54" s="24">
        <v>16</v>
      </c>
      <c r="F54">
        <v>47</v>
      </c>
      <c r="G54" s="84">
        <v>2</v>
      </c>
      <c r="H54" s="78">
        <v>0.5619999999999994</v>
      </c>
      <c r="I54" s="81">
        <v>1</v>
      </c>
      <c r="J54">
        <v>5</v>
      </c>
      <c r="K54" s="84"/>
    </row>
    <row r="55" spans="3:11" ht="12.75">
      <c r="C55">
        <v>48</v>
      </c>
      <c r="D55" s="78">
        <f>HLOOKUP(Saisie!$H$4,$G$4:$FD$69,52)</f>
        <v>-1.230666666666668</v>
      </c>
      <c r="E55">
        <v>17</v>
      </c>
      <c r="F55">
        <v>48</v>
      </c>
      <c r="G55" s="84">
        <v>0.4</v>
      </c>
      <c r="H55" s="78">
        <v>-1.230666666666668</v>
      </c>
      <c r="I55" s="81">
        <v>0.2</v>
      </c>
      <c r="J55" s="24">
        <v>2</v>
      </c>
      <c r="K55" s="84"/>
    </row>
    <row r="56" spans="3:11" ht="12.75">
      <c r="C56">
        <v>49</v>
      </c>
      <c r="D56" s="78">
        <f>HLOOKUP(Saisie!$H$4,$G$4:$FD$69,53)</f>
        <v>-2.65</v>
      </c>
      <c r="E56">
        <v>18</v>
      </c>
      <c r="F56">
        <v>49</v>
      </c>
      <c r="G56" s="85">
        <v>-1.46</v>
      </c>
      <c r="H56" s="78">
        <v>-2.65</v>
      </c>
      <c r="I56" s="81">
        <v>-0.73</v>
      </c>
      <c r="J56">
        <v>0</v>
      </c>
      <c r="K56" s="85"/>
    </row>
    <row r="57" spans="3:11" ht="12.75">
      <c r="C57">
        <v>50</v>
      </c>
      <c r="D57" s="78">
        <f>HLOOKUP(Saisie!$H$4,$G$4:$FD$69,54)</f>
        <v>-4.364000000000001</v>
      </c>
      <c r="E57">
        <v>19</v>
      </c>
      <c r="F57">
        <v>50</v>
      </c>
      <c r="G57" s="85">
        <v>-2.94</v>
      </c>
      <c r="H57" s="78">
        <v>-4.364000000000001</v>
      </c>
      <c r="I57" s="81">
        <v>-1.47</v>
      </c>
      <c r="J57" s="24">
        <v>-2</v>
      </c>
      <c r="K57" s="85"/>
    </row>
    <row r="58" spans="3:11" ht="12.75">
      <c r="C58">
        <v>51</v>
      </c>
      <c r="D58" s="78">
        <f>HLOOKUP(Saisie!$H$4,$G$4:$FD$69,55)</f>
        <v>-6.387333333333334</v>
      </c>
      <c r="E58">
        <v>20</v>
      </c>
      <c r="F58">
        <v>51</v>
      </c>
      <c r="G58" s="85">
        <v>-4.06</v>
      </c>
      <c r="H58" s="78">
        <v>-6.387333333333334</v>
      </c>
      <c r="I58" s="81">
        <v>-2.03</v>
      </c>
      <c r="J58" s="24">
        <v>-4</v>
      </c>
      <c r="K58" s="85"/>
    </row>
    <row r="59" spans="3:11" ht="12.75">
      <c r="C59">
        <v>52</v>
      </c>
      <c r="D59" s="78">
        <f>HLOOKUP(Saisie!$H$4,$G$4:$FD$69,56)</f>
        <v>-7.290666666666668</v>
      </c>
      <c r="E59">
        <v>21</v>
      </c>
      <c r="F59">
        <v>52</v>
      </c>
      <c r="G59" s="85">
        <v>-4.64</v>
      </c>
      <c r="H59" s="78">
        <v>-7.290666666666668</v>
      </c>
      <c r="I59" s="81">
        <v>-2.32</v>
      </c>
      <c r="J59">
        <v>-6</v>
      </c>
      <c r="K59" s="85"/>
    </row>
    <row r="60" spans="3:11" ht="12.75">
      <c r="C60">
        <v>53</v>
      </c>
      <c r="D60" s="78">
        <f>HLOOKUP(Saisie!$H$4,$G$4:$FD$69,57)</f>
        <v>-7.407333333333334</v>
      </c>
      <c r="E60">
        <v>22</v>
      </c>
      <c r="F60">
        <v>53</v>
      </c>
      <c r="G60" s="85">
        <v>-5.01</v>
      </c>
      <c r="H60" s="78">
        <v>-7.407333333333334</v>
      </c>
      <c r="I60" s="81">
        <v>-2.505</v>
      </c>
      <c r="J60" s="24">
        <v>-8</v>
      </c>
      <c r="K60" s="85"/>
    </row>
    <row r="61" spans="3:11" ht="12.75">
      <c r="C61">
        <v>54</v>
      </c>
      <c r="D61" s="78">
        <f>HLOOKUP(Saisie!$H$4,$G$4:$FD$69,58)</f>
        <v>-7.114000000000001</v>
      </c>
      <c r="E61">
        <v>23</v>
      </c>
      <c r="F61">
        <v>54</v>
      </c>
      <c r="G61" s="85">
        <v>-4.91</v>
      </c>
      <c r="H61" s="78">
        <v>-7.114000000000001</v>
      </c>
      <c r="I61" s="81">
        <v>-2.455</v>
      </c>
      <c r="J61" s="24">
        <v>-8</v>
      </c>
      <c r="K61" s="85"/>
    </row>
    <row r="62" spans="3:11" ht="12.75">
      <c r="C62">
        <v>55</v>
      </c>
      <c r="D62" s="78">
        <f>HLOOKUP(Saisie!$H$4,$G$4:$FD$69,59)</f>
        <v>-6.394000000000002</v>
      </c>
      <c r="E62">
        <v>24</v>
      </c>
      <c r="F62">
        <v>55</v>
      </c>
      <c r="G62" s="85">
        <v>-4.4</v>
      </c>
      <c r="H62" s="78">
        <v>-6.394000000000002</v>
      </c>
      <c r="I62" s="81">
        <v>-2.2</v>
      </c>
      <c r="J62" s="24">
        <v>-8</v>
      </c>
      <c r="K62" s="85"/>
    </row>
    <row r="63" spans="3:11" ht="12.75">
      <c r="C63">
        <v>56</v>
      </c>
      <c r="D63" s="78">
        <f>HLOOKUP(Saisie!$H$4,$G$4:$FD$69,60)</f>
        <v>-5.730666666666668</v>
      </c>
      <c r="E63">
        <v>25</v>
      </c>
      <c r="F63">
        <v>56</v>
      </c>
      <c r="G63" s="85">
        <v>-3.47</v>
      </c>
      <c r="H63" s="78">
        <v>-5.730666666666668</v>
      </c>
      <c r="I63" s="81">
        <v>-1.735</v>
      </c>
      <c r="J63" s="38">
        <v>-8</v>
      </c>
      <c r="K63" s="85"/>
    </row>
    <row r="64" spans="3:11" ht="12.75">
      <c r="C64">
        <v>57</v>
      </c>
      <c r="D64" s="78">
        <f>HLOOKUP(Saisie!$H$4,$G$4:$FD$69,61)</f>
        <v>-6.160666666666668</v>
      </c>
      <c r="E64">
        <v>26</v>
      </c>
      <c r="F64">
        <v>57</v>
      </c>
      <c r="G64" s="85">
        <v>-2.4</v>
      </c>
      <c r="H64" s="78">
        <v>-6.160666666666668</v>
      </c>
      <c r="I64" s="81">
        <v>-1.2</v>
      </c>
      <c r="J64" s="41">
        <v>-8</v>
      </c>
      <c r="K64" s="85"/>
    </row>
    <row r="65" spans="3:11" ht="12.75">
      <c r="C65">
        <v>58</v>
      </c>
      <c r="D65" s="78">
        <f>HLOOKUP(Saisie!$H$4,$G$4:$FD$69,62)</f>
        <v>-5.757333333333335</v>
      </c>
      <c r="E65">
        <v>27</v>
      </c>
      <c r="F65">
        <v>58</v>
      </c>
      <c r="G65" s="85">
        <v>-1.56</v>
      </c>
      <c r="H65" s="78">
        <v>-5.757333333333335</v>
      </c>
      <c r="I65" s="81">
        <v>-0.78</v>
      </c>
      <c r="J65" s="41">
        <v>-8</v>
      </c>
      <c r="K65" s="85"/>
    </row>
    <row r="66" spans="3:11" ht="12.75">
      <c r="C66">
        <v>59</v>
      </c>
      <c r="D66" s="78">
        <f>HLOOKUP(Saisie!$H$4,$G$4:$FD$69,63)</f>
        <v>-4.347333333333335</v>
      </c>
      <c r="E66">
        <v>28</v>
      </c>
      <c r="F66">
        <v>59</v>
      </c>
      <c r="G66" s="85">
        <v>-0.7200000000000006</v>
      </c>
      <c r="H66" s="78">
        <v>-4.347333333333335</v>
      </c>
      <c r="I66" s="81">
        <v>-0.36</v>
      </c>
      <c r="J66" s="41">
        <v>-8</v>
      </c>
      <c r="K66" s="85"/>
    </row>
    <row r="67" spans="3:11" ht="12.75">
      <c r="C67">
        <v>60</v>
      </c>
      <c r="D67" s="78">
        <f>HLOOKUP(Saisie!$H$4,$G$4:$FD$69,64)</f>
        <v>-3.0406666666666666</v>
      </c>
      <c r="E67">
        <v>29</v>
      </c>
      <c r="F67">
        <v>60</v>
      </c>
      <c r="G67" s="85">
        <v>-0.3999999999999986</v>
      </c>
      <c r="H67" s="78">
        <v>-3.0406666666666666</v>
      </c>
      <c r="I67" s="81">
        <v>-0.1999999999999993</v>
      </c>
      <c r="J67" s="41">
        <v>-8</v>
      </c>
      <c r="K67" s="85"/>
    </row>
    <row r="68" spans="3:11" ht="12.75">
      <c r="C68">
        <v>61</v>
      </c>
      <c r="D68" s="78">
        <f>HLOOKUP(Saisie!$H$4,$G$4:$FD$69,65)</f>
        <v>-1.8673333333333337</v>
      </c>
      <c r="E68">
        <v>30</v>
      </c>
      <c r="F68">
        <v>61</v>
      </c>
      <c r="G68" s="85">
        <v>-0.6099999999999994</v>
      </c>
      <c r="H68" s="78">
        <v>-1.8673333333333337</v>
      </c>
      <c r="I68" s="81">
        <v>-0.305</v>
      </c>
      <c r="J68" s="41">
        <v>-8</v>
      </c>
      <c r="K68" s="85"/>
    </row>
    <row r="69" spans="3:11" ht="13.5" thickBot="1">
      <c r="C69">
        <v>62</v>
      </c>
      <c r="D69" s="78">
        <f>HLOOKUP(Saisie!$H$4,$G$4:$FD$69,66)</f>
        <v>-0.4793333333333347</v>
      </c>
      <c r="E69">
        <v>31</v>
      </c>
      <c r="F69">
        <v>62</v>
      </c>
      <c r="G69" s="86">
        <f>G39</f>
        <v>0.01</v>
      </c>
      <c r="H69" s="78">
        <v>-0.4793333333333347</v>
      </c>
      <c r="I69" s="81">
        <v>0.005</v>
      </c>
      <c r="J69" s="41">
        <v>-8</v>
      </c>
      <c r="K69" s="86"/>
    </row>
    <row r="70" ht="12.75">
      <c r="D70" s="77"/>
    </row>
    <row r="71" ht="12.75">
      <c r="D71" s="77"/>
    </row>
    <row r="72" ht="12.75">
      <c r="D72" s="77"/>
    </row>
    <row r="73" ht="12.75">
      <c r="D73" s="77"/>
    </row>
    <row r="74" ht="12.75">
      <c r="D74" s="77"/>
    </row>
    <row r="75" ht="12.75">
      <c r="D75" s="77"/>
    </row>
    <row r="76" ht="12.75">
      <c r="D76" s="77"/>
    </row>
    <row r="77" ht="12.75">
      <c r="D77" s="77"/>
    </row>
    <row r="78" ht="12.75">
      <c r="D78" s="77"/>
    </row>
    <row r="79" ht="12.75">
      <c r="D79" s="77"/>
    </row>
    <row r="80" ht="12.75">
      <c r="D80" s="77"/>
    </row>
    <row r="81" ht="12.75">
      <c r="D81" s="77"/>
    </row>
    <row r="82" ht="12.75">
      <c r="D82" s="77"/>
    </row>
    <row r="83" ht="12.75">
      <c r="D83" s="77"/>
    </row>
    <row r="84" ht="12.75">
      <c r="D84" s="77"/>
    </row>
    <row r="85" ht="12.75">
      <c r="D85" s="77"/>
    </row>
    <row r="86" ht="12.75">
      <c r="D86" s="77"/>
    </row>
    <row r="87" ht="12.75">
      <c r="D87" s="77"/>
    </row>
    <row r="88" ht="12.75">
      <c r="D88" s="77"/>
    </row>
    <row r="89" ht="12.75">
      <c r="D89" s="77"/>
    </row>
    <row r="90" ht="12.75">
      <c r="D90" s="77"/>
    </row>
    <row r="91" ht="12.75">
      <c r="D91" s="77"/>
    </row>
  </sheetData>
  <dataValidations count="2">
    <dataValidation type="textLength" allowBlank="1" showInputMessage="1" showErrorMessage="1" prompt="Ne pas modifier cette cellule !" sqref="I37">
      <formula1>33</formula1>
      <formula2>33</formula2>
    </dataValidation>
    <dataValidation allowBlank="1" showInputMessage="1" showErrorMessage="1" prompt="Ne pas modifier cette cellule !" sqref="G37:H37 G69:H69 K37 K69"/>
  </dataValidations>
  <printOptions/>
  <pageMargins left="0.75" right="0.75" top="1" bottom="1" header="0.4921259845" footer="0.4921259845"/>
  <pageSetup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codeName="Feuil3"/>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Française de Nous-Mêmes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Nous</dc:creator>
  <cp:keywords/>
  <dc:description/>
  <cp:lastModifiedBy>Nous</cp:lastModifiedBy>
  <dcterms:created xsi:type="dcterms:W3CDTF">2010-04-06T11:16:37Z</dcterms:created>
  <dcterms:modified xsi:type="dcterms:W3CDTF">2010-05-16T16:26:16Z</dcterms:modified>
  <cp:category/>
  <cp:version/>
  <cp:contentType/>
  <cp:contentStatus/>
</cp:coreProperties>
</file>